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запрос!$A$1:$P$72</definedName>
  </definedNames>
  <calcPr calcId="124519"/>
</workbook>
</file>

<file path=xl/calcChain.xml><?xml version="1.0" encoding="utf-8"?>
<calcChain xmlns="http://schemas.openxmlformats.org/spreadsheetml/2006/main">
  <c r="O33" i="2"/>
  <c r="O43"/>
  <c r="L65"/>
  <c r="M65"/>
  <c r="N65"/>
  <c r="K65"/>
  <c r="N43" l="1"/>
  <c r="M43"/>
  <c r="L43"/>
  <c r="J43"/>
  <c r="I43"/>
  <c r="I33"/>
  <c r="F40" l="1"/>
  <c r="G40"/>
  <c r="H40"/>
  <c r="I40"/>
  <c r="J40"/>
  <c r="K40"/>
  <c r="L40"/>
  <c r="M40"/>
  <c r="N40"/>
  <c r="O40"/>
  <c r="O41"/>
  <c r="M42"/>
  <c r="F42"/>
  <c r="O44"/>
  <c r="K43"/>
  <c r="J47"/>
  <c r="O42" l="1"/>
  <c r="BB19"/>
  <c r="BD19"/>
  <c r="BE19"/>
  <c r="BI19"/>
  <c r="N33"/>
  <c r="K33"/>
  <c r="L33"/>
  <c r="M33"/>
  <c r="J33"/>
  <c r="F33"/>
  <c r="O39" l="1"/>
  <c r="O38"/>
  <c r="M36"/>
  <c r="L36"/>
  <c r="K36"/>
  <c r="J36"/>
  <c r="L35"/>
  <c r="F35"/>
  <c r="G35"/>
  <c r="H35"/>
  <c r="I35"/>
  <c r="J35"/>
  <c r="K35"/>
  <c r="O34"/>
  <c r="O35" l="1"/>
  <c r="F11"/>
  <c r="D13" l="1"/>
  <c r="P18"/>
  <c r="E20"/>
  <c r="E16"/>
  <c r="E21" s="1"/>
  <c r="E14" l="1"/>
  <c r="E11"/>
  <c r="P66"/>
  <c r="AQ9"/>
  <c r="AR9"/>
  <c r="AS9"/>
  <c r="AT9"/>
  <c r="AU9"/>
  <c r="AV9"/>
  <c r="AW9"/>
  <c r="L21"/>
  <c r="I20"/>
  <c r="I21" s="1"/>
  <c r="K20"/>
  <c r="K21" s="1"/>
  <c r="AQ12"/>
  <c r="AR12"/>
  <c r="AS12"/>
  <c r="AT12"/>
  <c r="AU12"/>
  <c r="AV12"/>
  <c r="AW12"/>
  <c r="AX9"/>
  <c r="AY9"/>
  <c r="J11"/>
  <c r="I11"/>
  <c r="H11"/>
  <c r="H31"/>
  <c r="F31"/>
  <c r="F32"/>
  <c r="E13" l="1"/>
  <c r="E12" s="1"/>
  <c r="K14"/>
  <c r="E19"/>
  <c r="I19"/>
  <c r="L19"/>
  <c r="O17"/>
  <c r="P17" s="1"/>
  <c r="O22" s="1"/>
  <c r="L14" l="1"/>
  <c r="D41"/>
  <c r="D33"/>
  <c r="D19"/>
  <c r="BA19" s="1"/>
  <c r="M14" l="1"/>
  <c r="N21"/>
  <c r="N19" s="1"/>
  <c r="M21"/>
  <c r="M19" s="1"/>
  <c r="H21"/>
  <c r="H19" s="1"/>
  <c r="G21"/>
  <c r="G19" s="1"/>
  <c r="F21"/>
  <c r="K19"/>
  <c r="J20"/>
  <c r="F19" l="1"/>
  <c r="N14"/>
  <c r="J21"/>
  <c r="J19" s="1"/>
  <c r="N41"/>
  <c r="M41"/>
  <c r="L41"/>
  <c r="J41"/>
  <c r="I41"/>
  <c r="G41"/>
  <c r="F41"/>
  <c r="L42"/>
  <c r="K42"/>
  <c r="J42"/>
  <c r="I42"/>
  <c r="H42"/>
  <c r="G42"/>
  <c r="H43"/>
  <c r="G43"/>
  <c r="F43"/>
  <c r="O14" l="1"/>
  <c r="AH12"/>
  <c r="AG12"/>
  <c r="AL12"/>
  <c r="K11"/>
  <c r="G11"/>
  <c r="N31"/>
  <c r="K31"/>
  <c r="J31"/>
  <c r="I31"/>
  <c r="L32"/>
  <c r="K32"/>
  <c r="J32"/>
  <c r="I32"/>
  <c r="H32"/>
  <c r="H33"/>
  <c r="N15"/>
  <c r="N13" s="1"/>
  <c r="M15"/>
  <c r="M13" s="1"/>
  <c r="L15"/>
  <c r="L13" s="1"/>
  <c r="J15"/>
  <c r="J13" s="1"/>
  <c r="I15"/>
  <c r="I13" s="1"/>
  <c r="H15"/>
  <c r="H13" s="1"/>
  <c r="G15"/>
  <c r="G13" s="1"/>
  <c r="F15"/>
  <c r="AN12" l="1"/>
  <c r="BK19"/>
  <c r="AM12"/>
  <c r="BJ19"/>
  <c r="AF12"/>
  <c r="BC19"/>
  <c r="AK12"/>
  <c r="BH19"/>
  <c r="AI12"/>
  <c r="BF19"/>
  <c r="AJ12"/>
  <c r="BG19"/>
  <c r="O11"/>
  <c r="F13"/>
  <c r="F10" s="1"/>
  <c r="H12"/>
  <c r="H10"/>
  <c r="M12"/>
  <c r="M10"/>
  <c r="G12"/>
  <c r="G10"/>
  <c r="L12"/>
  <c r="L10"/>
  <c r="J12"/>
  <c r="J10"/>
  <c r="E10"/>
  <c r="I12"/>
  <c r="I10"/>
  <c r="N12"/>
  <c r="N10"/>
  <c r="K15"/>
  <c r="K13" s="1"/>
  <c r="F12" l="1"/>
  <c r="O15"/>
  <c r="O13" s="1"/>
  <c r="O10" s="1"/>
  <c r="K12"/>
  <c r="K10"/>
  <c r="P15"/>
  <c r="O20" s="1"/>
  <c r="O19" s="1"/>
  <c r="P16"/>
  <c r="O21" s="1"/>
  <c r="P21" s="1"/>
  <c r="G31"/>
  <c r="M31"/>
  <c r="L31"/>
  <c r="G32"/>
  <c r="O32" s="1"/>
  <c r="N32"/>
  <c r="G33"/>
  <c r="N36"/>
  <c r="I36"/>
  <c r="I30" s="1"/>
  <c r="H36"/>
  <c r="G36"/>
  <c r="F36"/>
  <c r="E30"/>
  <c r="J37"/>
  <c r="O37" s="1"/>
  <c r="O31" l="1"/>
  <c r="O12"/>
  <c r="O36"/>
  <c r="N30"/>
  <c r="AA9" s="1"/>
  <c r="H30"/>
  <c r="U9" s="1"/>
  <c r="K30"/>
  <c r="J30"/>
  <c r="M30"/>
  <c r="O30"/>
  <c r="F30"/>
  <c r="L30"/>
  <c r="G30"/>
  <c r="R9"/>
  <c r="V9"/>
  <c r="W9"/>
  <c r="S9" l="1"/>
  <c r="X9"/>
  <c r="Y9"/>
  <c r="Z9"/>
  <c r="AB9"/>
  <c r="T9"/>
  <c r="AC9" l="1"/>
  <c r="K29"/>
  <c r="N29"/>
  <c r="M29"/>
  <c r="L29"/>
  <c r="J29"/>
  <c r="I29"/>
  <c r="H29"/>
  <c r="G29"/>
  <c r="F29"/>
  <c r="P48"/>
  <c r="P47"/>
  <c r="P46"/>
  <c r="P45"/>
  <c r="P43"/>
  <c r="P42"/>
  <c r="P50"/>
  <c r="P39"/>
  <c r="P36"/>
  <c r="P35"/>
  <c r="D40"/>
  <c r="AD12" s="1"/>
  <c r="P44" l="1"/>
  <c r="BL19"/>
  <c r="E40"/>
  <c r="P38"/>
  <c r="P49"/>
  <c r="P41"/>
  <c r="P34"/>
  <c r="P37"/>
  <c r="P33"/>
  <c r="P32"/>
  <c r="AE12" l="1"/>
  <c r="O29"/>
  <c r="AO12"/>
  <c r="E29"/>
  <c r="P40"/>
  <c r="D30"/>
  <c r="P30" s="1"/>
  <c r="P31"/>
  <c r="D12" l="1"/>
  <c r="D10"/>
  <c r="BA10" s="1"/>
  <c r="P13"/>
  <c r="D29"/>
  <c r="P10" l="1"/>
  <c r="BM10" s="1"/>
  <c r="AD9"/>
  <c r="Q9"/>
  <c r="E53"/>
  <c r="F53"/>
  <c r="G53"/>
  <c r="H53"/>
  <c r="I53"/>
  <c r="J53"/>
  <c r="K53"/>
  <c r="L53"/>
  <c r="M53"/>
  <c r="N53"/>
  <c r="O53"/>
  <c r="D53"/>
  <c r="E59"/>
  <c r="F59"/>
  <c r="G59"/>
  <c r="H59"/>
  <c r="I59"/>
  <c r="J59"/>
  <c r="K59"/>
  <c r="L59"/>
  <c r="M59"/>
  <c r="O59"/>
  <c r="D59"/>
  <c r="P58"/>
  <c r="P56"/>
  <c r="P64"/>
  <c r="P62"/>
  <c r="P63"/>
  <c r="P60"/>
  <c r="P57"/>
  <c r="P22" l="1"/>
  <c r="P20"/>
  <c r="P14"/>
  <c r="O9"/>
  <c r="M9"/>
  <c r="M51" s="1"/>
  <c r="K9"/>
  <c r="K51" s="1"/>
  <c r="J9"/>
  <c r="J51" s="1"/>
  <c r="I9"/>
  <c r="H9"/>
  <c r="G9"/>
  <c r="P11"/>
  <c r="P23"/>
  <c r="P24"/>
  <c r="P25"/>
  <c r="P26"/>
  <c r="P27"/>
  <c r="P28"/>
  <c r="P53"/>
  <c r="P54"/>
  <c r="P55"/>
  <c r="P59"/>
  <c r="P61"/>
  <c r="P68"/>
  <c r="O51" l="1"/>
  <c r="O65"/>
  <c r="P19"/>
  <c r="H65"/>
  <c r="H52" s="1"/>
  <c r="H51"/>
  <c r="I65"/>
  <c r="I52" s="1"/>
  <c r="I51"/>
  <c r="G65"/>
  <c r="G52" s="1"/>
  <c r="G51"/>
  <c r="J65"/>
  <c r="P29"/>
  <c r="L9"/>
  <c r="L51" s="1"/>
  <c r="F9"/>
  <c r="N9"/>
  <c r="N51" s="1"/>
  <c r="E9"/>
  <c r="E51" s="1"/>
  <c r="D9"/>
  <c r="D67" s="1"/>
  <c r="B8"/>
  <c r="C8" s="1"/>
  <c r="D8" s="1"/>
  <c r="AP12" l="1"/>
  <c r="BM19"/>
  <c r="E66"/>
  <c r="BB10"/>
  <c r="P12"/>
  <c r="F65"/>
  <c r="F52" s="1"/>
  <c r="F51"/>
  <c r="D51"/>
  <c r="D65"/>
  <c r="J52"/>
  <c r="E65"/>
  <c r="E52" s="1"/>
  <c r="P9"/>
  <c r="E8"/>
  <c r="F8" s="1"/>
  <c r="G8" s="1"/>
  <c r="P67" l="1"/>
  <c r="P51"/>
  <c r="P65"/>
  <c r="P52" s="1"/>
  <c r="E67"/>
  <c r="BC10" s="1"/>
  <c r="AE9"/>
  <c r="D52"/>
  <c r="F66"/>
  <c r="F67" s="1"/>
  <c r="BD10" s="1"/>
  <c r="K52"/>
  <c r="L52" l="1"/>
  <c r="AF9" l="1"/>
  <c r="G66"/>
  <c r="G67" s="1"/>
  <c r="BE10" s="1"/>
  <c r="M52"/>
  <c r="O52" l="1"/>
  <c r="N52"/>
  <c r="AG9" l="1"/>
  <c r="H66"/>
  <c r="H67" s="1"/>
  <c r="BF10" s="1"/>
  <c r="AH9" l="1"/>
  <c r="I66"/>
  <c r="I67" s="1"/>
  <c r="BG10" s="1"/>
  <c r="AI9" l="1"/>
  <c r="J66"/>
  <c r="J67" s="1"/>
  <c r="BH10" s="1"/>
  <c r="AJ9" l="1"/>
  <c r="K66"/>
  <c r="K67" s="1"/>
  <c r="BI10" s="1"/>
  <c r="AK9" l="1"/>
  <c r="L66"/>
  <c r="L67" s="1"/>
  <c r="BJ10" s="1"/>
  <c r="AL9" l="1"/>
  <c r="M66"/>
  <c r="M67" s="1"/>
  <c r="BK10" s="1"/>
  <c r="AM9" l="1"/>
  <c r="N66"/>
  <c r="N67" s="1"/>
  <c r="BL10" s="1"/>
  <c r="AN9" l="1"/>
  <c r="O66"/>
  <c r="O67" s="1"/>
  <c r="AO9" l="1"/>
  <c r="AP9" l="1"/>
</calcChain>
</file>

<file path=xl/sharedStrings.xml><?xml version="1.0" encoding="utf-8"?>
<sst xmlns="http://schemas.openxmlformats.org/spreadsheetml/2006/main" count="175" uniqueCount="114">
  <si>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</si>
  <si>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</si>
  <si>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</si>
  <si>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</si>
  <si>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</si>
  <si>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</si>
  <si>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</si>
  <si>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</si>
  <si>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</si>
  <si>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</si>
  <si>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</si>
  <si>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</si>
  <si>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</si>
  <si>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</si>
  <si>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</si>
  <si>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</si>
  <si>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</si>
  <si>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</si>
  <si>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</si>
  <si>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</si>
  <si>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</si>
  <si>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</si>
  <si>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</si>
  <si>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</si>
  <si>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</si>
  <si>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</si>
  <si>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</si>
  <si>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</si>
  <si>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</si>
  <si>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</si>
  <si>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</si>
  <si>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</si>
  <si>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</si>
  <si>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</si>
  <si>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</si>
  <si>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</si>
  <si>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</si>
  <si>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</si>
  <si>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</si>
  <si>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</si>
  <si>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</si>
  <si>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</si>
  <si>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</si>
  <si>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</si>
  <si>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</si>
  <si>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</si>
  <si>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</si>
  <si>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</si>
  <si>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</si>
  <si>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</si>
  <si>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</si>
  <si>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</si>
  <si>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</si>
  <si>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</si>
  <si>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</si>
  <si>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</si>
  <si>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</si>
  <si>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</si>
  <si>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</si>
  <si>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</si>
  <si>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</si>
  <si>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</si>
  <si>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</si>
  <si>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</si>
  <si>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</si>
  <si>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</si>
  <si>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</si>
  <si>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</si>
  <si>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</si>
  <si>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</si>
  <si>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</si>
  <si>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</si>
  <si>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</si>
  <si>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</si>
  <si>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</si>
  <si>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</si>
  <si>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</si>
  <si>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</si>
  <si>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</si>
  <si>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</si>
  <si>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</si>
  <si>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</si>
  <si>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</si>
  <si>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</si>
  <si>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</si>
  <si>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</si>
  <si>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</si>
  <si>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</si>
  <si>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</si>
  <si>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</si>
  <si>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</si>
  <si>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</si>
  <si>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</si>
  <si>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</si>
  <si>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</si>
  <si>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</si>
  <si>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</si>
  <si>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</si>
  <si>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</si>
  <si>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</si>
  <si>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</si>
  <si>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</si>
  <si>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</si>
  <si>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</si>
  <si>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</si>
  <si>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</si>
  <si>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</si>
  <si>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</si>
  <si>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</si>
  <si>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</si>
  <si>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>КАССОВЫЙ ПЛАН НА "01" марта 2023г.
текущий (очередной)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</si>
  <si>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</si>
  <si>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</si>
  <si>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марта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</si>
</sst>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/>
    </xf>
    <xf numFmtId="164" fontId="5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/>
    <xf numFmtId="164" fontId="5" fillId="0" borderId="12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73"/>
  <sheetViews>
    <sheetView tabSelected="1" topLeftCell="A11" zoomScale="75" zoomScaleNormal="75" workbookViewId="0">
      <selection activeCell="O39" sqref="O39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8" width="8.85546875" style="1" customWidth="1"/>
    <col min="9" max="9" width="9" style="1" customWidth="1"/>
    <col min="10" max="10" width="10.7109375" style="1" customWidth="1"/>
    <col min="11" max="11" width="10.140625" style="1" customWidth="1"/>
    <col min="12" max="12" width="11.42578125" style="1" customWidth="1"/>
    <col min="13" max="13" width="10.140625" style="1" customWidth="1"/>
    <col min="14" max="14" width="9" style="1" customWidth="1"/>
    <col min="15" max="15" width="10.140625" style="1" customWidth="1"/>
    <col min="16" max="16" width="12.7109375" style="15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8" width="9.140625" style="1"/>
    <col min="59" max="60" width="12" style="1" customWidth="1"/>
    <col min="61" max="61" width="9.140625" style="1"/>
    <col min="62" max="63" width="11.42578125" style="1" customWidth="1"/>
    <col min="64" max="64" width="12.42578125" style="1" customWidth="1"/>
    <col min="65" max="65" width="10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65" t="s">
        <v>77</v>
      </c>
      <c r="J1" s="65"/>
      <c r="K1" s="65"/>
      <c r="L1" s="65"/>
      <c r="M1" s="65"/>
      <c r="N1" s="65"/>
      <c r="O1" s="65"/>
      <c r="P1" s="65"/>
    </row>
    <row r="2" spans="1:65" ht="16.5" customHeight="1">
      <c r="B2" s="8"/>
      <c r="C2" s="8"/>
      <c r="D2" s="9"/>
      <c r="E2" s="8"/>
      <c r="F2" s="10"/>
      <c r="G2" s="10"/>
      <c r="I2" s="65" t="s">
        <v>108</v>
      </c>
      <c r="J2" s="65"/>
      <c r="K2" s="65"/>
      <c r="L2" s="65"/>
      <c r="M2" s="65"/>
      <c r="N2" s="65"/>
      <c r="O2" s="65"/>
      <c r="P2" s="65"/>
    </row>
    <row r="3" spans="1:65" ht="33" customHeight="1">
      <c r="B3" s="8"/>
      <c r="C3" s="8"/>
      <c r="D3" s="9"/>
      <c r="E3" s="8"/>
      <c r="F3" s="10"/>
      <c r="G3" s="10"/>
      <c r="I3" s="66" t="s">
        <v>109</v>
      </c>
      <c r="J3" s="66"/>
      <c r="K3" s="66"/>
      <c r="L3" s="66"/>
      <c r="M3" s="66"/>
      <c r="N3" s="66"/>
      <c r="O3" s="66"/>
      <c r="P3" s="66"/>
    </row>
    <row r="4" spans="1:65" ht="17.25" customHeight="1">
      <c r="B4" s="8"/>
      <c r="C4" s="8"/>
      <c r="D4" s="9"/>
      <c r="E4" s="8"/>
      <c r="F4" s="10"/>
      <c r="G4" s="10"/>
      <c r="I4" s="65" t="s">
        <v>113</v>
      </c>
      <c r="J4" s="65"/>
      <c r="K4" s="65"/>
      <c r="L4" s="65"/>
      <c r="M4" s="65"/>
      <c r="N4" s="65"/>
      <c r="O4" s="65"/>
      <c r="P4" s="65"/>
    </row>
    <row r="5" spans="1:65" ht="28.5" customHeight="1">
      <c r="A5" s="69" t="s">
        <v>110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42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6" t="s">
        <v>69</v>
      </c>
      <c r="K7" s="6" t="s">
        <v>70</v>
      </c>
      <c r="L7" s="6" t="s">
        <v>71</v>
      </c>
      <c r="M7" s="6" t="s">
        <v>72</v>
      </c>
      <c r="N7" s="6" t="s">
        <v>73</v>
      </c>
      <c r="O7" s="6" t="s">
        <v>74</v>
      </c>
      <c r="P7" s="55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42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55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49">
        <v>16</v>
      </c>
    </row>
    <row r="9" spans="1:65" s="15" customFormat="1" ht="33" customHeight="1">
      <c r="A9" s="23" t="s">
        <v>4</v>
      </c>
      <c r="B9" s="26" t="s">
        <v>5</v>
      </c>
      <c r="C9" s="19"/>
      <c r="D9" s="39">
        <f>D11+D12</f>
        <v>18308.620940000001</v>
      </c>
      <c r="E9" s="39">
        <f t="shared" ref="E9:O9" si="1">E11+E12</f>
        <v>39767.796320000001</v>
      </c>
      <c r="F9" s="39">
        <f t="shared" si="1"/>
        <v>37665.02433</v>
      </c>
      <c r="G9" s="39">
        <f t="shared" si="1"/>
        <v>36468.52233</v>
      </c>
      <c r="H9" s="39">
        <f t="shared" si="1"/>
        <v>37265.654329999998</v>
      </c>
      <c r="I9" s="39">
        <f t="shared" si="1"/>
        <v>56572.754329999996</v>
      </c>
      <c r="J9" s="39">
        <f t="shared" si="1"/>
        <v>57982.029330000005</v>
      </c>
      <c r="K9" s="39">
        <f t="shared" si="1"/>
        <v>29810.89833</v>
      </c>
      <c r="L9" s="39">
        <f t="shared" si="1"/>
        <v>23800.122329999998</v>
      </c>
      <c r="M9" s="39">
        <f t="shared" si="1"/>
        <v>32004.09333</v>
      </c>
      <c r="N9" s="39">
        <f t="shared" si="1"/>
        <v>32291.04333</v>
      </c>
      <c r="O9" s="39">
        <f t="shared" si="1"/>
        <v>52771.163300000022</v>
      </c>
      <c r="P9" s="58">
        <f>SUM(D9:O9)</f>
        <v>454707.72253000003</v>
      </c>
      <c r="Q9" s="35">
        <f t="shared" ref="Q9:AB9" si="2">D10-D30</f>
        <v>865.78047999999944</v>
      </c>
      <c r="R9" s="35">
        <f t="shared" si="2"/>
        <v>-1449.4424900000013</v>
      </c>
      <c r="S9" s="35">
        <f t="shared" si="2"/>
        <v>-77.119739999998274</v>
      </c>
      <c r="T9" s="35">
        <f t="shared" si="2"/>
        <v>79.038739999999962</v>
      </c>
      <c r="U9" s="35">
        <f t="shared" si="2"/>
        <v>24.978949999996985</v>
      </c>
      <c r="V9" s="35">
        <f t="shared" si="2"/>
        <v>-20.974869999998191</v>
      </c>
      <c r="W9" s="35">
        <f t="shared" si="2"/>
        <v>20830.785940000009</v>
      </c>
      <c r="X9" s="35">
        <f t="shared" si="2"/>
        <v>-1566.5540000000001</v>
      </c>
      <c r="Y9" s="35">
        <f t="shared" si="2"/>
        <v>-7103.0146700000041</v>
      </c>
      <c r="Z9" s="35">
        <f t="shared" si="2"/>
        <v>-6536.2481599999992</v>
      </c>
      <c r="AA9" s="35">
        <f t="shared" si="2"/>
        <v>-5677.7640800000008</v>
      </c>
      <c r="AB9" s="35">
        <f t="shared" si="2"/>
        <v>-10602.766109999953</v>
      </c>
      <c r="AC9" s="35">
        <f>W9+X9+Y9+Z9+AA9+AB9</f>
        <v>-10655.561079999949</v>
      </c>
      <c r="AD9" s="36">
        <f>D66+D10-D30</f>
        <v>1531.35707</v>
      </c>
      <c r="AE9" s="36">
        <f t="shared" ref="AE9:AU9" si="3">E66+E10-E30</f>
        <v>81.916180000000168</v>
      </c>
      <c r="AF9" s="36">
        <f t="shared" si="3"/>
        <v>4.7964400000018941</v>
      </c>
      <c r="AG9" s="36">
        <f t="shared" si="3"/>
        <v>83.835180000005494</v>
      </c>
      <c r="AH9" s="36">
        <f t="shared" si="3"/>
        <v>108.81412999999884</v>
      </c>
      <c r="AI9" s="36">
        <f t="shared" si="3"/>
        <v>87.83926000000065</v>
      </c>
      <c r="AJ9" s="36">
        <f t="shared" si="3"/>
        <v>20918.625200000002</v>
      </c>
      <c r="AK9" s="36">
        <f t="shared" si="3"/>
        <v>19352.11867</v>
      </c>
      <c r="AL9" s="36">
        <f t="shared" si="3"/>
        <v>12249.103999999988</v>
      </c>
      <c r="AM9" s="36">
        <f t="shared" si="3"/>
        <v>5712.8558399999929</v>
      </c>
      <c r="AN9" s="36">
        <f t="shared" si="3"/>
        <v>35.091760000002978</v>
      </c>
      <c r="AO9" s="36">
        <f t="shared" si="3"/>
        <v>-10567.67434999995</v>
      </c>
      <c r="AP9" s="36">
        <f t="shared" si="3"/>
        <v>-10567.723419999878</v>
      </c>
      <c r="AQ9" s="36">
        <f t="shared" si="3"/>
        <v>0</v>
      </c>
      <c r="AR9" s="36">
        <f t="shared" si="3"/>
        <v>0</v>
      </c>
      <c r="AS9" s="36">
        <f t="shared" si="3"/>
        <v>0</v>
      </c>
      <c r="AT9" s="36">
        <f t="shared" si="3"/>
        <v>0</v>
      </c>
      <c r="AU9" s="36">
        <f t="shared" si="3"/>
        <v>0</v>
      </c>
      <c r="AV9" s="36">
        <f t="shared" ref="AV9:AW9" si="4">V10-V30</f>
        <v>0</v>
      </c>
      <c r="AW9" s="36">
        <f t="shared" si="4"/>
        <v>0</v>
      </c>
      <c r="AX9" s="36">
        <f t="shared" ref="AX9:AY9" si="5">X66+X10-X30</f>
        <v>0</v>
      </c>
      <c r="AY9" s="36">
        <f t="shared" si="5"/>
        <v>0</v>
      </c>
    </row>
    <row r="10" spans="1:65" s="2" customFormat="1" ht="15" customHeight="1">
      <c r="A10" s="54"/>
      <c r="B10" s="27" t="s">
        <v>93</v>
      </c>
      <c r="C10" s="11" t="s">
        <v>87</v>
      </c>
      <c r="D10" s="40">
        <f>D11+D13</f>
        <v>14452.122939999999</v>
      </c>
      <c r="E10" s="40">
        <f t="shared" ref="E10:O10" si="6">E11+E13</f>
        <v>23837.194930000001</v>
      </c>
      <c r="F10" s="40">
        <f t="shared" si="6"/>
        <v>19599.494330000001</v>
      </c>
      <c r="G10" s="40">
        <f t="shared" si="6"/>
        <v>18864.597330000001</v>
      </c>
      <c r="H10" s="40">
        <f t="shared" si="6"/>
        <v>19586.854329999998</v>
      </c>
      <c r="I10" s="40">
        <f t="shared" si="6"/>
        <v>20521.384330000001</v>
      </c>
      <c r="J10" s="40">
        <f t="shared" si="6"/>
        <v>40106.404330000005</v>
      </c>
      <c r="K10" s="40">
        <f t="shared" si="6"/>
        <v>17523.698329999999</v>
      </c>
      <c r="L10" s="40">
        <f t="shared" si="6"/>
        <v>15030.322329999999</v>
      </c>
      <c r="M10" s="40">
        <f t="shared" si="6"/>
        <v>14660.568329999998</v>
      </c>
      <c r="N10" s="40">
        <f t="shared" si="6"/>
        <v>15187.643329999999</v>
      </c>
      <c r="O10" s="40">
        <f t="shared" si="6"/>
        <v>21579.315120000014</v>
      </c>
      <c r="P10" s="50">
        <f>SUM(D10:O10)</f>
        <v>240949.59996000002</v>
      </c>
      <c r="BA10" s="59">
        <f>0+D10-D30</f>
        <v>865.78047999999944</v>
      </c>
      <c r="BB10" s="59">
        <f>D67+E10-E30</f>
        <v>81.916180000000168</v>
      </c>
      <c r="BC10" s="59">
        <f t="shared" ref="BC10:BL10" si="7">E67+F10-F30</f>
        <v>4.7964400000018941</v>
      </c>
      <c r="BD10" s="59">
        <f t="shared" si="7"/>
        <v>83.835180000005494</v>
      </c>
      <c r="BE10" s="59">
        <f t="shared" si="7"/>
        <v>108.81412999999884</v>
      </c>
      <c r="BF10" s="59">
        <f t="shared" si="7"/>
        <v>87.83926000000065</v>
      </c>
      <c r="BG10" s="59">
        <f t="shared" si="7"/>
        <v>20918.625200000002</v>
      </c>
      <c r="BH10" s="59">
        <f t="shared" si="7"/>
        <v>19352.11867</v>
      </c>
      <c r="BI10" s="59">
        <f t="shared" si="7"/>
        <v>12249.103999999988</v>
      </c>
      <c r="BJ10" s="59">
        <f t="shared" si="7"/>
        <v>5712.8558399999929</v>
      </c>
      <c r="BK10" s="59">
        <f t="shared" si="7"/>
        <v>35.091760000002978</v>
      </c>
      <c r="BL10" s="59">
        <f t="shared" si="7"/>
        <v>-10567.67434999995</v>
      </c>
      <c r="BM10" s="59">
        <f>0+P10-P30</f>
        <v>-11233.30000999989</v>
      </c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41">
        <v>4398.2896099999998</v>
      </c>
      <c r="E11" s="41">
        <f>5889.47994-D11</f>
        <v>1491.1903300000004</v>
      </c>
      <c r="F11" s="41">
        <f>9130</f>
        <v>9130</v>
      </c>
      <c r="G11" s="41">
        <f>10000-1556.8</f>
        <v>8443.2000000000007</v>
      </c>
      <c r="H11" s="41">
        <f>10000-1951.95-100+1200</f>
        <v>9148.0499999999993</v>
      </c>
      <c r="I11" s="41">
        <f>10000-859.6-400+1400</f>
        <v>10140.4</v>
      </c>
      <c r="J11" s="41">
        <f>10000+6387.9+15000-600+2001.8-400-1200-1400</f>
        <v>29789.700000000004</v>
      </c>
      <c r="K11" s="41">
        <f>10000-45.45-400</f>
        <v>9554.5499999999993</v>
      </c>
      <c r="L11" s="41">
        <v>6989</v>
      </c>
      <c r="M11" s="41">
        <v>6598</v>
      </c>
      <c r="N11" s="41">
        <v>7125</v>
      </c>
      <c r="O11" s="41">
        <f>115266.7-D11-E11-F11-G11-H11-I11-J11-K11-L11-M11-N11</f>
        <v>12459.320060000013</v>
      </c>
      <c r="P11" s="50">
        <f t="shared" ref="P11:P22" si="8">SUM(D11:O11)</f>
        <v>115266.70000000001</v>
      </c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41">
        <f>D13+D19</f>
        <v>13910.331329999999</v>
      </c>
      <c r="E12" s="41">
        <f>E13+E19</f>
        <v>38276.605990000004</v>
      </c>
      <c r="F12" s="41">
        <f t="shared" ref="F12:P12" si="9">F13+F19</f>
        <v>28535.02433</v>
      </c>
      <c r="G12" s="41">
        <f t="shared" si="9"/>
        <v>28025.322329999999</v>
      </c>
      <c r="H12" s="41">
        <f t="shared" si="9"/>
        <v>28117.604329999998</v>
      </c>
      <c r="I12" s="41">
        <f t="shared" si="9"/>
        <v>46432.354329999995</v>
      </c>
      <c r="J12" s="41">
        <f t="shared" si="9"/>
        <v>28192.32933</v>
      </c>
      <c r="K12" s="41">
        <f t="shared" si="9"/>
        <v>20256.348330000001</v>
      </c>
      <c r="L12" s="41">
        <f t="shared" si="9"/>
        <v>16811.122329999998</v>
      </c>
      <c r="M12" s="41">
        <f t="shared" si="9"/>
        <v>25406.09333</v>
      </c>
      <c r="N12" s="41">
        <f t="shared" si="9"/>
        <v>25166.04333</v>
      </c>
      <c r="O12" s="41">
        <f t="shared" si="9"/>
        <v>40311.843240000009</v>
      </c>
      <c r="P12" s="41">
        <f t="shared" si="9"/>
        <v>339441.02252999996</v>
      </c>
      <c r="AD12" s="36">
        <f>-D27+D19-D40</f>
        <v>1.6000000000531145E-3</v>
      </c>
      <c r="AE12" s="36">
        <f>E19-E40</f>
        <v>0</v>
      </c>
      <c r="AF12" s="36">
        <f t="shared" ref="AF12:AS12" si="10">F19-F40</f>
        <v>0</v>
      </c>
      <c r="AG12" s="36">
        <f t="shared" si="10"/>
        <v>0</v>
      </c>
      <c r="AH12" s="36">
        <f t="shared" si="10"/>
        <v>0</v>
      </c>
      <c r="AI12" s="36">
        <f t="shared" si="10"/>
        <v>0</v>
      </c>
      <c r="AJ12" s="36">
        <f t="shared" si="10"/>
        <v>4.7469999997701962E-2</v>
      </c>
      <c r="AK12" s="36">
        <f t="shared" si="10"/>
        <v>0</v>
      </c>
      <c r="AL12" s="36">
        <f t="shared" si="10"/>
        <v>0</v>
      </c>
      <c r="AM12" s="36">
        <f t="shared" si="10"/>
        <v>0</v>
      </c>
      <c r="AN12" s="36">
        <f t="shared" si="10"/>
        <v>0</v>
      </c>
      <c r="AO12" s="36">
        <f t="shared" si="10"/>
        <v>-4.902999998012092E-2</v>
      </c>
      <c r="AP12" s="36">
        <f t="shared" si="10"/>
        <v>4.0000013541430235E-5</v>
      </c>
      <c r="AQ12" s="36">
        <f t="shared" si="10"/>
        <v>0</v>
      </c>
      <c r="AR12" s="36">
        <f t="shared" si="10"/>
        <v>0</v>
      </c>
      <c r="AS12" s="36">
        <f t="shared" si="10"/>
        <v>0</v>
      </c>
      <c r="AT12" s="36">
        <f t="shared" ref="AT12:AU12" si="11">-T27+T19-T40</f>
        <v>0</v>
      </c>
      <c r="AU12" s="36">
        <f t="shared" si="11"/>
        <v>0</v>
      </c>
      <c r="AV12" s="36">
        <f t="shared" ref="AV12:AW12" si="12">V27+W19-W40</f>
        <v>0</v>
      </c>
      <c r="AW12" s="36">
        <f t="shared" si="12"/>
        <v>0</v>
      </c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41">
        <f>D14+D15+D16+D17+D18</f>
        <v>10053.833329999999</v>
      </c>
      <c r="E13" s="41">
        <f>E14+E15+E16+E17+E18</f>
        <v>22346.0046</v>
      </c>
      <c r="F13" s="41">
        <f t="shared" ref="F13:O13" si="13">F14+F15+F16+F17+F18</f>
        <v>10469.49433</v>
      </c>
      <c r="G13" s="41">
        <f t="shared" si="13"/>
        <v>10421.39733</v>
      </c>
      <c r="H13" s="41">
        <f t="shared" si="13"/>
        <v>10438.804329999999</v>
      </c>
      <c r="I13" s="41">
        <f t="shared" si="13"/>
        <v>10380.984329999999</v>
      </c>
      <c r="J13" s="41">
        <f t="shared" si="13"/>
        <v>10316.704329999999</v>
      </c>
      <c r="K13" s="41">
        <f t="shared" si="13"/>
        <v>7969.1483299999991</v>
      </c>
      <c r="L13" s="41">
        <f t="shared" si="13"/>
        <v>8041.3223299999991</v>
      </c>
      <c r="M13" s="41">
        <f t="shared" si="13"/>
        <v>8062.5683299999992</v>
      </c>
      <c r="N13" s="41">
        <f t="shared" si="13"/>
        <v>8062.6433299999999</v>
      </c>
      <c r="O13" s="41">
        <f t="shared" si="13"/>
        <v>9119.9950599999993</v>
      </c>
      <c r="P13" s="50">
        <f t="shared" si="8"/>
        <v>125682.89995999998</v>
      </c>
    </row>
    <row r="14" spans="1:65" s="2" customFormat="1" ht="14.25" customHeight="1">
      <c r="A14" s="47"/>
      <c r="B14" s="48" t="s">
        <v>11</v>
      </c>
      <c r="C14" s="11" t="s">
        <v>12</v>
      </c>
      <c r="D14" s="40">
        <v>9375.25</v>
      </c>
      <c r="E14" s="40">
        <f>30532.8-D14</f>
        <v>21157.55</v>
      </c>
      <c r="F14" s="40">
        <v>9375.25</v>
      </c>
      <c r="G14" s="40">
        <v>9375.25</v>
      </c>
      <c r="H14" s="40">
        <v>9375.25</v>
      </c>
      <c r="I14" s="40">
        <v>9375.25</v>
      </c>
      <c r="J14" s="40">
        <v>9375.25</v>
      </c>
      <c r="K14" s="40">
        <f>(112503-J14-I14-H14-G14-F14-E14-D14)/5</f>
        <v>7018.7899999999991</v>
      </c>
      <c r="L14" s="40">
        <f>K14</f>
        <v>7018.7899999999991</v>
      </c>
      <c r="M14" s="40">
        <f t="shared" ref="M14:O14" si="14">L14</f>
        <v>7018.7899999999991</v>
      </c>
      <c r="N14" s="40">
        <f t="shared" si="14"/>
        <v>7018.7899999999991</v>
      </c>
      <c r="O14" s="40">
        <f t="shared" si="14"/>
        <v>7018.7899999999991</v>
      </c>
      <c r="P14" s="50">
        <f>SUM(D14:O14)</f>
        <v>112502.99999999997</v>
      </c>
    </row>
    <row r="15" spans="1:65" s="2" customFormat="1" ht="49.5" customHeight="1">
      <c r="A15" s="53"/>
      <c r="B15" s="30" t="s">
        <v>100</v>
      </c>
      <c r="C15" s="11" t="s">
        <v>13</v>
      </c>
      <c r="D15" s="40">
        <v>0</v>
      </c>
      <c r="E15" s="40">
        <v>509.87126999999998</v>
      </c>
      <c r="F15" s="40">
        <f>223.775+143.886</f>
        <v>367.661</v>
      </c>
      <c r="G15" s="40">
        <f>223.775+143.789</f>
        <v>367.56399999999996</v>
      </c>
      <c r="H15" s="40">
        <f>223.775+113.196</f>
        <v>336.971</v>
      </c>
      <c r="I15" s="40">
        <f>223.775+103.376</f>
        <v>327.15100000000001</v>
      </c>
      <c r="J15" s="40">
        <f>223.775+39.096</f>
        <v>262.87099999999998</v>
      </c>
      <c r="K15" s="40">
        <f t="shared" ref="K15" si="15">223.775</f>
        <v>223.77500000000001</v>
      </c>
      <c r="L15" s="40">
        <f>223.775+120.174</f>
        <v>343.94900000000001</v>
      </c>
      <c r="M15" s="40">
        <f>223.775+141.42</f>
        <v>365.19499999999999</v>
      </c>
      <c r="N15" s="40">
        <f>223.775+141.495</f>
        <v>365.27</v>
      </c>
      <c r="O15" s="40">
        <f>2685.3+1412.6-D15-E15-F15-G15-H15-I15-J15-K15-L15-M15-N15</f>
        <v>627.62172999999962</v>
      </c>
      <c r="P15" s="50">
        <f t="shared" ref="P15:P17" si="16">SUM(D15:O15)</f>
        <v>4097.8999999999996</v>
      </c>
    </row>
    <row r="16" spans="1:65" s="2" customFormat="1" ht="15" customHeight="1">
      <c r="A16" s="53"/>
      <c r="B16" s="30" t="s">
        <v>101</v>
      </c>
      <c r="C16" s="11" t="s">
        <v>14</v>
      </c>
      <c r="D16" s="40">
        <v>678.58333000000005</v>
      </c>
      <c r="E16" s="40">
        <f>678.58333*1</f>
        <v>678.58333000000005</v>
      </c>
      <c r="F16" s="40">
        <v>678.58333000000005</v>
      </c>
      <c r="G16" s="40">
        <v>678.58333000000005</v>
      </c>
      <c r="H16" s="40">
        <v>678.58333000000005</v>
      </c>
      <c r="I16" s="40">
        <v>678.58333000000005</v>
      </c>
      <c r="J16" s="40">
        <v>678.58333000000005</v>
      </c>
      <c r="K16" s="40">
        <v>678.58333000000005</v>
      </c>
      <c r="L16" s="40">
        <v>678.58333000000005</v>
      </c>
      <c r="M16" s="40">
        <v>678.58333000000005</v>
      </c>
      <c r="N16" s="40">
        <v>678.58333000000005</v>
      </c>
      <c r="O16" s="40">
        <v>678.58333000000005</v>
      </c>
      <c r="P16" s="50">
        <f t="shared" si="16"/>
        <v>8142.9999600000019</v>
      </c>
    </row>
    <row r="17" spans="1:67" s="2" customFormat="1" ht="63" customHeight="1">
      <c r="A17" s="45"/>
      <c r="B17" s="30" t="s">
        <v>105</v>
      </c>
      <c r="C17" s="11" t="s">
        <v>15</v>
      </c>
      <c r="D17" s="40">
        <v>0</v>
      </c>
      <c r="E17" s="40">
        <v>0</v>
      </c>
      <c r="F17" s="40">
        <v>48</v>
      </c>
      <c r="G17" s="40">
        <v>0</v>
      </c>
      <c r="H17" s="40">
        <v>48</v>
      </c>
      <c r="I17" s="40">
        <v>0</v>
      </c>
      <c r="J17" s="40">
        <v>0</v>
      </c>
      <c r="K17" s="40">
        <v>48</v>
      </c>
      <c r="L17" s="40">
        <v>0</v>
      </c>
      <c r="M17" s="40">
        <v>0</v>
      </c>
      <c r="N17" s="40">
        <v>0</v>
      </c>
      <c r="O17" s="40">
        <f>939-N17-L17-M17-K17-J17-I17-H17-G17-F17-E17-D17</f>
        <v>795</v>
      </c>
      <c r="P17" s="50">
        <f t="shared" si="16"/>
        <v>939</v>
      </c>
    </row>
    <row r="18" spans="1:67" s="2" customFormat="1" ht="13.5" customHeight="1">
      <c r="A18" s="37"/>
      <c r="B18" s="30" t="s">
        <v>18</v>
      </c>
      <c r="C18" s="11" t="s">
        <v>22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50">
        <f t="shared" ref="P18" si="17">SUM(D18:O18)</f>
        <v>0</v>
      </c>
    </row>
    <row r="19" spans="1:67" s="14" customFormat="1" ht="14.25" customHeight="1">
      <c r="A19" s="24" t="s">
        <v>99</v>
      </c>
      <c r="B19" s="29" t="s">
        <v>103</v>
      </c>
      <c r="C19" s="13" t="s">
        <v>87</v>
      </c>
      <c r="D19" s="41">
        <f>D20+D21+D22+D23+D24+D25+D26+D27+D28</f>
        <v>3856.498</v>
      </c>
      <c r="E19" s="41">
        <f t="shared" ref="E19:P19" si="18">E20+E21+E22+E23+E24+E25+E26+E27+E28</f>
        <v>15930.601390000003</v>
      </c>
      <c r="F19" s="41">
        <f>F20+F21+F22+F23+F24+F25+F26+F27+F28</f>
        <v>18065.53</v>
      </c>
      <c r="G19" s="41">
        <f t="shared" si="18"/>
        <v>17603.924999999999</v>
      </c>
      <c r="H19" s="41">
        <f t="shared" si="18"/>
        <v>17678.8</v>
      </c>
      <c r="I19" s="41">
        <f t="shared" si="18"/>
        <v>36051.369999999995</v>
      </c>
      <c r="J19" s="41">
        <f t="shared" si="18"/>
        <v>17875.625</v>
      </c>
      <c r="K19" s="41">
        <f t="shared" si="18"/>
        <v>12287.2</v>
      </c>
      <c r="L19" s="41">
        <f t="shared" si="18"/>
        <v>8769.7999999999993</v>
      </c>
      <c r="M19" s="41">
        <f t="shared" si="18"/>
        <v>17343.525000000001</v>
      </c>
      <c r="N19" s="41">
        <f t="shared" si="18"/>
        <v>17103.400000000001</v>
      </c>
      <c r="O19" s="41">
        <f t="shared" si="18"/>
        <v>31191.848180000008</v>
      </c>
      <c r="P19" s="41">
        <f t="shared" si="18"/>
        <v>213758.12257000001</v>
      </c>
      <c r="BA19" s="59">
        <f>0+D19-D40</f>
        <v>1.6000000000531145E-3</v>
      </c>
      <c r="BB19" s="59">
        <f t="shared" ref="BB19:BL19" si="19">0+E19-E40</f>
        <v>0</v>
      </c>
      <c r="BC19" s="59">
        <f t="shared" si="19"/>
        <v>0</v>
      </c>
      <c r="BD19" s="59">
        <f t="shared" si="19"/>
        <v>0</v>
      </c>
      <c r="BE19" s="59">
        <f t="shared" si="19"/>
        <v>0</v>
      </c>
      <c r="BF19" s="59">
        <f t="shared" si="19"/>
        <v>0</v>
      </c>
      <c r="BG19" s="59">
        <f t="shared" si="19"/>
        <v>4.7469999997701962E-2</v>
      </c>
      <c r="BH19" s="59">
        <f t="shared" si="19"/>
        <v>0</v>
      </c>
      <c r="BI19" s="59">
        <f t="shared" si="19"/>
        <v>0</v>
      </c>
      <c r="BJ19" s="59">
        <f t="shared" si="19"/>
        <v>0</v>
      </c>
      <c r="BK19" s="59">
        <f t="shared" si="19"/>
        <v>0</v>
      </c>
      <c r="BL19" s="59">
        <f t="shared" si="19"/>
        <v>-4.902999998012092E-2</v>
      </c>
      <c r="BM19" s="59">
        <f>0+P19-P40</f>
        <v>4.0000013541430235E-5</v>
      </c>
      <c r="BN19" s="2"/>
      <c r="BO19" s="15"/>
    </row>
    <row r="20" spans="1:67" s="2" customFormat="1" ht="15.75" customHeight="1">
      <c r="A20" s="70"/>
      <c r="B20" s="30" t="s">
        <v>96</v>
      </c>
      <c r="C20" s="11" t="s">
        <v>13</v>
      </c>
      <c r="D20" s="40">
        <v>0</v>
      </c>
      <c r="E20" s="40">
        <f>769.242-E15</f>
        <v>259.37072999999998</v>
      </c>
      <c r="F20" s="40">
        <v>1456.3</v>
      </c>
      <c r="G20" s="40">
        <v>1105.4000000000001</v>
      </c>
      <c r="H20" s="40">
        <v>1567.8</v>
      </c>
      <c r="I20" s="40">
        <f>3200+828.7+1401.5133+14.1567</f>
        <v>5444.369999999999</v>
      </c>
      <c r="J20" s="40">
        <f>1390+450+1000+3100+300.6</f>
        <v>6240.6</v>
      </c>
      <c r="K20" s="40">
        <f>1800+3528.7+157.7</f>
        <v>5486.4</v>
      </c>
      <c r="L20" s="40">
        <v>1187.5999999999999</v>
      </c>
      <c r="M20" s="40">
        <v>1186.4000000000001</v>
      </c>
      <c r="N20" s="40">
        <v>1379.7</v>
      </c>
      <c r="O20" s="40">
        <f>32919.72253-N20-M20-L20-K20-J20-I20-H20-G20-F20-E20-D20-P15</f>
        <v>3507.8818000000047</v>
      </c>
      <c r="P20" s="50">
        <f t="shared" si="8"/>
        <v>28821.822530000005</v>
      </c>
    </row>
    <row r="21" spans="1:67" s="2" customFormat="1" ht="15.75" customHeight="1">
      <c r="A21" s="70"/>
      <c r="B21" s="30" t="s">
        <v>97</v>
      </c>
      <c r="C21" s="11" t="s">
        <v>14</v>
      </c>
      <c r="D21" s="40">
        <v>3856.498</v>
      </c>
      <c r="E21" s="40">
        <f>20041.58319-D21-E16-D16</f>
        <v>14827.918530000003</v>
      </c>
      <c r="F21" s="40">
        <f>18065.53-F22-F20</f>
        <v>15709.23</v>
      </c>
      <c r="G21" s="40">
        <f>17603.925-G20-G22</f>
        <v>15598.524999999998</v>
      </c>
      <c r="H21" s="40">
        <f>17678.8-H20-H22</f>
        <v>15211</v>
      </c>
      <c r="I21" s="40">
        <f>34635.7-I20-I22+1401.5133+14.1567</f>
        <v>27456.999999999996</v>
      </c>
      <c r="J21" s="40">
        <f>17875.625-J20</f>
        <v>11635.025</v>
      </c>
      <c r="K21" s="40">
        <f>12287.2-K20</f>
        <v>6800.8000000000011</v>
      </c>
      <c r="L21" s="40">
        <f>8769.8-L20-L22+1390.5-1390.5</f>
        <v>7132.1999999999989</v>
      </c>
      <c r="M21" s="40">
        <f>17343.525-M20-M22</f>
        <v>15257.125000000002</v>
      </c>
      <c r="N21" s="40">
        <f>17103.4-N20-N22</f>
        <v>14823.7</v>
      </c>
      <c r="O21" s="40">
        <f>182261.6-P16-D21-E21-F21-G21-H21-I21-J21-K21-L21-M21-N21</f>
        <v>25809.578510000003</v>
      </c>
      <c r="P21" s="50">
        <f>SUM(D21:O21)</f>
        <v>174118.60003999999</v>
      </c>
    </row>
    <row r="22" spans="1:67" s="2" customFormat="1" ht="15.75" customHeight="1">
      <c r="A22" s="70"/>
      <c r="B22" s="30" t="s">
        <v>98</v>
      </c>
      <c r="C22" s="11" t="s">
        <v>15</v>
      </c>
      <c r="D22" s="40">
        <v>0</v>
      </c>
      <c r="E22" s="40">
        <v>843.31213000000002</v>
      </c>
      <c r="F22" s="40">
        <v>900</v>
      </c>
      <c r="G22" s="40">
        <v>900</v>
      </c>
      <c r="H22" s="40">
        <v>900</v>
      </c>
      <c r="I22" s="40">
        <v>3150</v>
      </c>
      <c r="J22" s="40">
        <v>0</v>
      </c>
      <c r="K22" s="40">
        <v>0</v>
      </c>
      <c r="L22" s="40">
        <v>450</v>
      </c>
      <c r="M22" s="40">
        <v>900</v>
      </c>
      <c r="N22" s="40">
        <v>900</v>
      </c>
      <c r="O22" s="40">
        <f>11756.7-N22-M22-L22-K22-J22-I22-H22-G22-F22-E22-D22-P17</f>
        <v>1874.3878700000005</v>
      </c>
      <c r="P22" s="50">
        <f t="shared" si="8"/>
        <v>10817.7</v>
      </c>
    </row>
    <row r="23" spans="1:67" s="2" customFormat="1" ht="30.75" customHeight="1">
      <c r="A23" s="33"/>
      <c r="B23" s="34" t="s">
        <v>16</v>
      </c>
      <c r="C23" s="11" t="s">
        <v>17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50">
        <f t="shared" ref="P23:P68" si="20">SUM(D23:O23)</f>
        <v>0</v>
      </c>
    </row>
    <row r="24" spans="1:67" s="2" customFormat="1" ht="13.5" customHeight="1">
      <c r="A24" s="70"/>
      <c r="B24" s="71" t="s">
        <v>18</v>
      </c>
      <c r="C24" s="11" t="s">
        <v>19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50">
        <f t="shared" si="20"/>
        <v>0</v>
      </c>
    </row>
    <row r="25" spans="1:67" s="2" customFormat="1" ht="13.5" customHeight="1">
      <c r="A25" s="70"/>
      <c r="B25" s="71"/>
      <c r="C25" s="11" t="s">
        <v>20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50">
        <f t="shared" si="20"/>
        <v>0</v>
      </c>
    </row>
    <row r="26" spans="1:67" s="2" customFormat="1" ht="13.5" customHeight="1">
      <c r="A26" s="70"/>
      <c r="B26" s="71"/>
      <c r="C26" s="11" t="s">
        <v>21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50">
        <f t="shared" si="20"/>
        <v>0</v>
      </c>
    </row>
    <row r="27" spans="1:67" s="2" customFormat="1" ht="13.5" customHeight="1">
      <c r="A27" s="70"/>
      <c r="B27" s="71"/>
      <c r="C27" s="11" t="s">
        <v>22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50">
        <f t="shared" si="20"/>
        <v>0</v>
      </c>
    </row>
    <row r="28" spans="1:67" s="2" customFormat="1" ht="15" customHeight="1">
      <c r="A28" s="37"/>
      <c r="B28" s="38" t="s">
        <v>23</v>
      </c>
      <c r="C28" s="11"/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50">
        <f t="shared" si="20"/>
        <v>0</v>
      </c>
    </row>
    <row r="29" spans="1:67" s="15" customFormat="1" ht="15" customHeight="1">
      <c r="A29" s="24" t="s">
        <v>24</v>
      </c>
      <c r="B29" s="28" t="s">
        <v>25</v>
      </c>
      <c r="C29" s="13" t="s">
        <v>87</v>
      </c>
      <c r="D29" s="41">
        <f>D30+D40</f>
        <v>17442.83886</v>
      </c>
      <c r="E29" s="41">
        <f t="shared" ref="E29:O29" si="21">E30+E40</f>
        <v>41217.238810000003</v>
      </c>
      <c r="F29" s="41">
        <f t="shared" si="21"/>
        <v>37742.144069999995</v>
      </c>
      <c r="G29" s="41">
        <f t="shared" si="21"/>
        <v>36389.483590000003</v>
      </c>
      <c r="H29" s="41">
        <f t="shared" si="21"/>
        <v>37240.675380000001</v>
      </c>
      <c r="I29" s="41">
        <f t="shared" si="21"/>
        <v>56593.729200000002</v>
      </c>
      <c r="J29" s="41">
        <f t="shared" si="21"/>
        <v>37151.195919999998</v>
      </c>
      <c r="K29" s="41">
        <f t="shared" si="21"/>
        <v>31377.45233</v>
      </c>
      <c r="L29" s="41">
        <f t="shared" si="21"/>
        <v>30903.137000000002</v>
      </c>
      <c r="M29" s="41">
        <f t="shared" si="21"/>
        <v>38540.341489999992</v>
      </c>
      <c r="N29" s="41">
        <f t="shared" si="21"/>
        <v>37968.807410000001</v>
      </c>
      <c r="O29" s="41">
        <f t="shared" si="21"/>
        <v>63373.978439999955</v>
      </c>
      <c r="P29" s="50">
        <f t="shared" si="20"/>
        <v>465941.02249999996</v>
      </c>
    </row>
    <row r="30" spans="1:67" s="15" customFormat="1" ht="84.75" customHeight="1">
      <c r="A30" s="24" t="s">
        <v>26</v>
      </c>
      <c r="B30" s="31" t="s">
        <v>107</v>
      </c>
      <c r="C30" s="13" t="s">
        <v>87</v>
      </c>
      <c r="D30" s="41">
        <f>SUM(D31:D39)</f>
        <v>13586.34246</v>
      </c>
      <c r="E30" s="41">
        <f t="shared" ref="E30:O30" si="22">SUM(E31:E39)</f>
        <v>25286.637420000003</v>
      </c>
      <c r="F30" s="41">
        <f t="shared" si="22"/>
        <v>19676.61407</v>
      </c>
      <c r="G30" s="41">
        <f t="shared" si="22"/>
        <v>18785.558590000001</v>
      </c>
      <c r="H30" s="41">
        <f t="shared" si="22"/>
        <v>19561.875380000001</v>
      </c>
      <c r="I30" s="41">
        <f t="shared" si="22"/>
        <v>20542.359199999999</v>
      </c>
      <c r="J30" s="41">
        <f t="shared" si="22"/>
        <v>19275.618389999996</v>
      </c>
      <c r="K30" s="41">
        <f t="shared" si="22"/>
        <v>19090.252329999999</v>
      </c>
      <c r="L30" s="41">
        <f t="shared" si="22"/>
        <v>22133.337000000003</v>
      </c>
      <c r="M30" s="41">
        <f t="shared" si="22"/>
        <v>21196.816489999997</v>
      </c>
      <c r="N30" s="41">
        <f t="shared" si="22"/>
        <v>20865.40741</v>
      </c>
      <c r="O30" s="41">
        <f t="shared" si="22"/>
        <v>32182.081229999967</v>
      </c>
      <c r="P30" s="50">
        <f>SUM(D30:O30)</f>
        <v>252182.89996999991</v>
      </c>
    </row>
    <row r="31" spans="1:67" s="2" customFormat="1" ht="29.25" customHeight="1">
      <c r="A31" s="56"/>
      <c r="B31" s="57" t="s">
        <v>80</v>
      </c>
      <c r="C31" s="11" t="s">
        <v>87</v>
      </c>
      <c r="D31" s="40">
        <v>3005.26926</v>
      </c>
      <c r="E31" s="40">
        <v>7484.9023900000002</v>
      </c>
      <c r="F31" s="40">
        <f>4430.86625+2000+300-500</f>
        <v>6230.86625</v>
      </c>
      <c r="G31" s="40">
        <f>4361.785+2000</f>
        <v>6361.7849999999999</v>
      </c>
      <c r="H31" s="40">
        <f>4680.52+2000+1300-500+500</f>
        <v>7980.52</v>
      </c>
      <c r="I31" s="40">
        <f>6094.189+2000-300</f>
        <v>7794.1890000000003</v>
      </c>
      <c r="J31" s="40">
        <f>5824.955+2000-300</f>
        <v>7524.9549999999999</v>
      </c>
      <c r="K31" s="40">
        <f>5278.099+2000-300</f>
        <v>6978.0990000000002</v>
      </c>
      <c r="L31" s="40">
        <f>6392.28+2000</f>
        <v>8392.2799999999988</v>
      </c>
      <c r="M31" s="40">
        <f>6030.4+2000</f>
        <v>8030.4</v>
      </c>
      <c r="N31" s="40">
        <f>8596.30418-100</f>
        <v>8496.3041799999992</v>
      </c>
      <c r="O31" s="40">
        <f>90637.90254-D31-E31-F31-G31-H31-I31-J31-K31-L31-M31-N31</f>
        <v>12358.332459999976</v>
      </c>
      <c r="P31" s="50">
        <f t="shared" ref="P31:P39" si="23">SUM(D31:O31)</f>
        <v>90637.902539999981</v>
      </c>
    </row>
    <row r="32" spans="1:67" s="2" customFormat="1" ht="29.25" customHeight="1">
      <c r="A32" s="56"/>
      <c r="B32" s="57" t="s">
        <v>81</v>
      </c>
      <c r="C32" s="11" t="s">
        <v>87</v>
      </c>
      <c r="D32" s="40">
        <v>1052.4570100000001</v>
      </c>
      <c r="E32" s="40">
        <v>2168.5048299999999</v>
      </c>
      <c r="F32" s="40">
        <f>2363.54-200-100+200</f>
        <v>2263.54</v>
      </c>
      <c r="G32" s="40">
        <f>1606.8+7.5</f>
        <v>1614.3</v>
      </c>
      <c r="H32" s="40">
        <f>2417.7-100</f>
        <v>2317.6999999999998</v>
      </c>
      <c r="I32" s="40">
        <f>3148.9-800-100</f>
        <v>2248.9</v>
      </c>
      <c r="J32" s="40">
        <f>2653.5-500-100</f>
        <v>2053.5</v>
      </c>
      <c r="K32" s="40">
        <f>2598.8-400-100</f>
        <v>2098.8000000000002</v>
      </c>
      <c r="L32" s="40">
        <f>3423.9-500-100</f>
        <v>2823.9</v>
      </c>
      <c r="M32" s="40">
        <v>1990.2</v>
      </c>
      <c r="N32" s="40">
        <f>2361.5-200</f>
        <v>2161.5</v>
      </c>
      <c r="O32" s="40">
        <f>26219-D32-E32-F32-G32-H32-I32-J32-K32-L32-M32-N32</f>
        <v>3425.6981600000026</v>
      </c>
      <c r="P32" s="50">
        <f t="shared" si="23"/>
        <v>26219.000000000007</v>
      </c>
    </row>
    <row r="33" spans="1:16" s="2" customFormat="1" ht="42.75" customHeight="1">
      <c r="A33" s="56"/>
      <c r="B33" s="57" t="s">
        <v>82</v>
      </c>
      <c r="C33" s="11" t="s">
        <v>87</v>
      </c>
      <c r="D33" s="40">
        <f>5934.336</f>
        <v>5934.3360000000002</v>
      </c>
      <c r="E33" s="40">
        <v>8085.8469800000003</v>
      </c>
      <c r="F33" s="40">
        <f>7118-1000+1150</f>
        <v>7268</v>
      </c>
      <c r="G33" s="40">
        <f>3990+3000</f>
        <v>6990</v>
      </c>
      <c r="H33" s="40">
        <f>2726+3000-2000</f>
        <v>3726</v>
      </c>
      <c r="I33" s="40">
        <f>9684-1347.9-3000-2000+1500</f>
        <v>4836.1000000000004</v>
      </c>
      <c r="J33" s="40">
        <f>6621-1000+5000-1150-1500-4000</f>
        <v>3971</v>
      </c>
      <c r="K33" s="40">
        <f>3488.7+2000+337.09</f>
        <v>5825.79</v>
      </c>
      <c r="L33" s="40">
        <f>5867.8</f>
        <v>5867.8</v>
      </c>
      <c r="M33" s="40">
        <f>6722.9-1000</f>
        <v>5722.9</v>
      </c>
      <c r="N33" s="40">
        <f>6206-1850</f>
        <v>4356</v>
      </c>
      <c r="O33" s="40">
        <f>87435.552-D33-E33-F33-G33-H33-I33-J33-K33-L33-M33-N33-16036.51667+143.78497+0.1176</f>
        <v>8959.1649199999938</v>
      </c>
      <c r="P33" s="50">
        <f t="shared" si="23"/>
        <v>71542.937900000004</v>
      </c>
    </row>
    <row r="34" spans="1:16" s="2" customFormat="1" ht="29.25" customHeight="1">
      <c r="A34" s="56"/>
      <c r="B34" s="57" t="s">
        <v>83</v>
      </c>
      <c r="C34" s="11" t="s">
        <v>87</v>
      </c>
      <c r="D34" s="40">
        <v>316.26</v>
      </c>
      <c r="E34" s="40">
        <v>346.67200000000003</v>
      </c>
      <c r="F34" s="40">
        <v>316.26</v>
      </c>
      <c r="G34" s="40">
        <v>316.26</v>
      </c>
      <c r="H34" s="40">
        <v>316.26</v>
      </c>
      <c r="I34" s="40">
        <v>370.47</v>
      </c>
      <c r="J34" s="40">
        <v>370.47</v>
      </c>
      <c r="K34" s="40">
        <v>370.47</v>
      </c>
      <c r="L34" s="40">
        <v>370.47</v>
      </c>
      <c r="M34" s="40">
        <v>370.47</v>
      </c>
      <c r="N34" s="40">
        <v>370.47</v>
      </c>
      <c r="O34" s="40">
        <f>4174.632-D34-E34-F34-G34-H34-I34-J34-K34-L34-M34-N34</f>
        <v>340.09999999999877</v>
      </c>
      <c r="P34" s="50">
        <f t="shared" si="23"/>
        <v>4174.6319999999996</v>
      </c>
    </row>
    <row r="35" spans="1:16" s="2" customFormat="1" ht="14.25" customHeight="1">
      <c r="A35" s="56"/>
      <c r="B35" s="57" t="s">
        <v>84</v>
      </c>
      <c r="C35" s="11" t="s">
        <v>87</v>
      </c>
      <c r="D35" s="40">
        <v>1085.3333299999999</v>
      </c>
      <c r="E35" s="40">
        <v>1632.3333299999999</v>
      </c>
      <c r="F35" s="40">
        <f t="shared" ref="F35:K35" si="24">1085.33333-78.75</f>
        <v>1006.5833299999999</v>
      </c>
      <c r="G35" s="40">
        <f t="shared" si="24"/>
        <v>1006.5833299999999</v>
      </c>
      <c r="H35" s="40">
        <f t="shared" si="24"/>
        <v>1006.5833299999999</v>
      </c>
      <c r="I35" s="40">
        <f t="shared" si="24"/>
        <v>1006.5833299999999</v>
      </c>
      <c r="J35" s="40">
        <f t="shared" si="24"/>
        <v>1006.5833299999999</v>
      </c>
      <c r="K35" s="40">
        <f t="shared" si="24"/>
        <v>1006.5833299999999</v>
      </c>
      <c r="L35" s="40">
        <f>1085.33333-27.5-47</f>
        <v>1010.8333299999999</v>
      </c>
      <c r="M35" s="40">
        <v>1085.3333299999999</v>
      </c>
      <c r="N35" s="40">
        <v>1085.3333299999999</v>
      </c>
      <c r="O35" s="40">
        <f>13024-D35-E35-F35-G35-H35-I35-J35-K35-L35-M35-N35</f>
        <v>1085.3333700000044</v>
      </c>
      <c r="P35" s="50">
        <f t="shared" si="23"/>
        <v>13024</v>
      </c>
    </row>
    <row r="36" spans="1:16" s="2" customFormat="1" ht="13.5" customHeight="1">
      <c r="A36" s="56"/>
      <c r="B36" s="57" t="s">
        <v>90</v>
      </c>
      <c r="C36" s="11" t="s">
        <v>87</v>
      </c>
      <c r="D36" s="40">
        <v>1987.644</v>
      </c>
      <c r="E36" s="40">
        <v>5371.0574800000004</v>
      </c>
      <c r="F36" s="40">
        <f>55.95+1760.97+35.97163+535.95</f>
        <v>2388.8416299999999</v>
      </c>
      <c r="G36" s="40">
        <f>55.95+1234.57+35.9474+969.64</f>
        <v>2296.1073999999999</v>
      </c>
      <c r="H36" s="40">
        <f>55.95+1699.59+28.29919+1228.45+1000</f>
        <v>4012.28919</v>
      </c>
      <c r="I36" s="40">
        <f>55.95+1429.86+25.84401+2553.94</f>
        <v>4065.5940099999998</v>
      </c>
      <c r="J36" s="40">
        <f>55.95+2869.41+9.7742+1393.5-300</f>
        <v>4028.6341999999995</v>
      </c>
      <c r="K36" s="40">
        <f>55.95+2049.03+1378.93-1000</f>
        <v>2483.91</v>
      </c>
      <c r="L36" s="40">
        <f>55.95+1366.07+30.04367+2396.59-500</f>
        <v>3348.6536700000001</v>
      </c>
      <c r="M36" s="40">
        <f>55.95+1210.75+35.35516+1868.858+500</f>
        <v>3670.9131600000001</v>
      </c>
      <c r="N36" s="40">
        <f>55.95+1965.04+35.3799+1943.73+76.3</f>
        <v>4076.3999000000003</v>
      </c>
      <c r="O36" s="40">
        <f>43393.928-D36-E36-F36-G36-H36-I36-J36-K36-L36-M36-N36</f>
        <v>5663.8833599999925</v>
      </c>
      <c r="P36" s="50">
        <f t="shared" si="23"/>
        <v>43393.928</v>
      </c>
    </row>
    <row r="37" spans="1:16" s="2" customFormat="1" ht="13.5" customHeight="1">
      <c r="A37" s="56"/>
      <c r="B37" s="57" t="s">
        <v>85</v>
      </c>
      <c r="C37" s="11" t="s">
        <v>87</v>
      </c>
      <c r="D37" s="40">
        <v>200.52286000000001</v>
      </c>
      <c r="E37" s="40">
        <v>197.32041000000001</v>
      </c>
      <c r="F37" s="40">
        <v>200.52286000000001</v>
      </c>
      <c r="G37" s="40">
        <v>200.52286000000001</v>
      </c>
      <c r="H37" s="40">
        <v>200.52286000000001</v>
      </c>
      <c r="I37" s="40">
        <v>200.52286000000001</v>
      </c>
      <c r="J37" s="40">
        <f>300.52286+19.953</f>
        <v>320.47585999999995</v>
      </c>
      <c r="K37" s="40">
        <v>326.60000000000002</v>
      </c>
      <c r="L37" s="40">
        <v>319.39999999999998</v>
      </c>
      <c r="M37" s="40">
        <v>326.60000000000002</v>
      </c>
      <c r="N37" s="40">
        <v>319.39999999999998</v>
      </c>
      <c r="O37" s="40">
        <f>3161.45953-D37-E37-F37-G37-H37-I37-J37-K37-L37-M37-N37</f>
        <v>349.04896000000019</v>
      </c>
      <c r="P37" s="50">
        <f t="shared" si="23"/>
        <v>3161.4595300000001</v>
      </c>
    </row>
    <row r="38" spans="1:16" s="2" customFormat="1" ht="61.5" customHeight="1">
      <c r="A38" s="56"/>
      <c r="B38" s="57" t="s">
        <v>86</v>
      </c>
      <c r="C38" s="11" t="s">
        <v>87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20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f>20-D38-E38-F38-G38-H38-I38-J38-K38-L38-M38-N38</f>
        <v>0</v>
      </c>
      <c r="P38" s="50">
        <f t="shared" si="23"/>
        <v>20</v>
      </c>
    </row>
    <row r="39" spans="1:16" s="2" customFormat="1" ht="14.25" customHeight="1">
      <c r="A39" s="56"/>
      <c r="B39" s="57" t="s">
        <v>104</v>
      </c>
      <c r="C39" s="11" t="s">
        <v>87</v>
      </c>
      <c r="D39" s="40">
        <v>4.5199999999999996</v>
      </c>
      <c r="E39" s="40">
        <v>0</v>
      </c>
      <c r="F39" s="40">
        <v>2</v>
      </c>
      <c r="G39" s="40">
        <v>0</v>
      </c>
      <c r="H39" s="40">
        <v>2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f>9.04-D39-E39-F39-G39-H39-I39-J39-K39-L39-M39-N39</f>
        <v>0.51999999999999957</v>
      </c>
      <c r="P39" s="50">
        <f t="shared" si="23"/>
        <v>9.0399999999999991</v>
      </c>
    </row>
    <row r="40" spans="1:16" s="15" customFormat="1" ht="93.75" customHeight="1">
      <c r="A40" s="24" t="s">
        <v>27</v>
      </c>
      <c r="B40" s="31" t="s">
        <v>106</v>
      </c>
      <c r="C40" s="13" t="s">
        <v>87</v>
      </c>
      <c r="D40" s="41">
        <f>SUM(D41:D49)</f>
        <v>3856.4964</v>
      </c>
      <c r="E40" s="41">
        <f t="shared" ref="E40:O40" si="25">SUM(E41:E49)</f>
        <v>15930.60139</v>
      </c>
      <c r="F40" s="41">
        <f t="shared" si="25"/>
        <v>18065.53</v>
      </c>
      <c r="G40" s="41">
        <f t="shared" si="25"/>
        <v>17603.924999999999</v>
      </c>
      <c r="H40" s="41">
        <f t="shared" si="25"/>
        <v>17678.8</v>
      </c>
      <c r="I40" s="41">
        <f t="shared" si="25"/>
        <v>36051.370000000003</v>
      </c>
      <c r="J40" s="41">
        <f t="shared" si="25"/>
        <v>17875.577530000002</v>
      </c>
      <c r="K40" s="41">
        <f t="shared" si="25"/>
        <v>12287.199999999999</v>
      </c>
      <c r="L40" s="41">
        <f t="shared" si="25"/>
        <v>8769.7999999999993</v>
      </c>
      <c r="M40" s="41">
        <f t="shared" si="25"/>
        <v>17343.524999999998</v>
      </c>
      <c r="N40" s="41">
        <f t="shared" si="25"/>
        <v>17103.400000000001</v>
      </c>
      <c r="O40" s="41">
        <f t="shared" si="25"/>
        <v>31191.897209999988</v>
      </c>
      <c r="P40" s="50">
        <f t="shared" ref="P40:P49" si="26">SUM(D40:O40)</f>
        <v>213758.12252999999</v>
      </c>
    </row>
    <row r="41" spans="1:16" s="2" customFormat="1" ht="30" customHeight="1">
      <c r="A41" s="62"/>
      <c r="B41" s="63" t="s">
        <v>80</v>
      </c>
      <c r="C41" s="11" t="s">
        <v>87</v>
      </c>
      <c r="D41" s="40">
        <f>3489.3334</f>
        <v>3489.3334</v>
      </c>
      <c r="E41" s="40">
        <v>15222.721439999999</v>
      </c>
      <c r="F41" s="40">
        <f>14706.63+1000</f>
        <v>15706.63</v>
      </c>
      <c r="G41" s="40">
        <f>14635.5+1000</f>
        <v>15635.5</v>
      </c>
      <c r="H41" s="40">
        <v>16099.4</v>
      </c>
      <c r="I41" s="40">
        <f>31185.6-3000</f>
        <v>28185.599999999999</v>
      </c>
      <c r="J41" s="40">
        <f>12010.7-1000</f>
        <v>11010.7</v>
      </c>
      <c r="K41" s="40">
        <v>5717.8</v>
      </c>
      <c r="L41" s="40">
        <f>7572.6-474.3</f>
        <v>7098.3</v>
      </c>
      <c r="M41" s="40">
        <f>13282.6+2000</f>
        <v>15282.6</v>
      </c>
      <c r="N41" s="40">
        <f>14313.4+1000</f>
        <v>15313.4</v>
      </c>
      <c r="O41" s="40">
        <f>175261.7046-D41-E41-F41-G41-H41-I41-J41-K41-L41-M41-N41</f>
        <v>26499.719759999993</v>
      </c>
      <c r="P41" s="50">
        <f t="shared" si="26"/>
        <v>175261.7046</v>
      </c>
    </row>
    <row r="42" spans="1:16" s="2" customFormat="1" ht="30" customHeight="1">
      <c r="A42" s="62"/>
      <c r="B42" s="63" t="s">
        <v>81</v>
      </c>
      <c r="C42" s="11" t="s">
        <v>87</v>
      </c>
      <c r="D42" s="40">
        <v>0</v>
      </c>
      <c r="E42" s="40">
        <v>154.39696000000001</v>
      </c>
      <c r="F42" s="40">
        <f>38.5*4</f>
        <v>154</v>
      </c>
      <c r="G42" s="40">
        <f>32.6*4</f>
        <v>130.4</v>
      </c>
      <c r="H42" s="40">
        <f>66.7+4</f>
        <v>70.7</v>
      </c>
      <c r="I42" s="40">
        <f>22.5*4</f>
        <v>90</v>
      </c>
      <c r="J42" s="40">
        <f>28.7*4</f>
        <v>114.8</v>
      </c>
      <c r="K42" s="40">
        <f>42.2*4</f>
        <v>168.8</v>
      </c>
      <c r="L42" s="40">
        <f>41.7*4</f>
        <v>166.8</v>
      </c>
      <c r="M42" s="40">
        <f>72.2*3</f>
        <v>216.60000000000002</v>
      </c>
      <c r="N42" s="40">
        <v>219.7</v>
      </c>
      <c r="O42" s="40">
        <f>1733.57-D42-E42-F42-G42-H42-I42-J42-K42-L42-M42-N42</f>
        <v>247.37303999999989</v>
      </c>
      <c r="P42" s="50">
        <f t="shared" si="26"/>
        <v>1733.57</v>
      </c>
    </row>
    <row r="43" spans="1:16" s="2" customFormat="1" ht="52.5" customHeight="1">
      <c r="A43" s="62"/>
      <c r="B43" s="63" t="s">
        <v>82</v>
      </c>
      <c r="C43" s="11" t="s">
        <v>87</v>
      </c>
      <c r="D43" s="40">
        <v>6</v>
      </c>
      <c r="E43" s="40">
        <v>133.33099000000001</v>
      </c>
      <c r="F43" s="40">
        <f>974.2+150</f>
        <v>1124.2</v>
      </c>
      <c r="G43" s="40">
        <f>562.9+150</f>
        <v>712.9</v>
      </c>
      <c r="H43" s="40">
        <f>391+150</f>
        <v>541</v>
      </c>
      <c r="I43" s="40">
        <f>595.1+150+1401.5133+14.1567+3200-480.8</f>
        <v>4879.97</v>
      </c>
      <c r="J43" s="40">
        <f>205+1000+150+3100-1135.3</f>
        <v>3319.7</v>
      </c>
      <c r="K43" s="40">
        <f>187+1800+150+3528.7</f>
        <v>5665.7</v>
      </c>
      <c r="L43" s="40">
        <f>386.9+250</f>
        <v>636.9</v>
      </c>
      <c r="M43" s="40">
        <f>358.7+250+72.2</f>
        <v>680.90000000000009</v>
      </c>
      <c r="N43" s="40">
        <f>453.6+150+15.1</f>
        <v>618.70000000000005</v>
      </c>
      <c r="O43" s="40">
        <f>21006.63037-D43-E43-F43-G43-H43-I43-J43-K43-L43-M43-N43-143.78497</f>
        <v>2543.5444099999963</v>
      </c>
      <c r="P43" s="50">
        <f t="shared" si="26"/>
        <v>20862.845399999998</v>
      </c>
    </row>
    <row r="44" spans="1:16" s="2" customFormat="1" ht="30" customHeight="1">
      <c r="A44" s="62"/>
      <c r="B44" s="63" t="s">
        <v>88</v>
      </c>
      <c r="C44" s="11" t="s">
        <v>87</v>
      </c>
      <c r="D44" s="40">
        <v>23.238</v>
      </c>
      <c r="E44" s="40">
        <v>420.15199999999999</v>
      </c>
      <c r="F44" s="40">
        <v>1080.7</v>
      </c>
      <c r="G44" s="40">
        <v>787.2</v>
      </c>
      <c r="H44" s="40">
        <v>967.7</v>
      </c>
      <c r="I44" s="40">
        <v>660.9</v>
      </c>
      <c r="J44" s="40">
        <v>567.20000000000005</v>
      </c>
      <c r="K44" s="40">
        <v>718.9</v>
      </c>
      <c r="L44" s="40">
        <v>867.8</v>
      </c>
      <c r="M44" s="40">
        <v>825.5</v>
      </c>
      <c r="N44" s="40">
        <v>951.6</v>
      </c>
      <c r="O44" s="40">
        <f>9772.15-D44-E44-F44-G44-H44-I44-J44-K44-L44-M44-N44</f>
        <v>1901.2600000000007</v>
      </c>
      <c r="P44" s="50">
        <f t="shared" si="26"/>
        <v>9772.1500000000015</v>
      </c>
    </row>
    <row r="45" spans="1:16" s="2" customFormat="1" ht="15" customHeight="1">
      <c r="A45" s="62"/>
      <c r="B45" s="63" t="s">
        <v>89</v>
      </c>
      <c r="C45" s="11" t="s">
        <v>87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1784.9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50">
        <f t="shared" si="26"/>
        <v>1784.9</v>
      </c>
    </row>
    <row r="46" spans="1:16" s="2" customFormat="1" ht="15" customHeight="1">
      <c r="A46" s="62"/>
      <c r="B46" s="63" t="s">
        <v>84</v>
      </c>
      <c r="C46" s="11" t="s">
        <v>87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50">
        <f t="shared" si="26"/>
        <v>0</v>
      </c>
    </row>
    <row r="47" spans="1:16" s="2" customFormat="1" ht="15" customHeight="1">
      <c r="A47" s="62"/>
      <c r="B47" s="63" t="s">
        <v>91</v>
      </c>
      <c r="C47" s="11" t="s">
        <v>87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450</v>
      </c>
      <c r="J47" s="40">
        <f>1390+1123.9+11.35253</f>
        <v>2525.2525300000002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50">
        <f t="shared" si="26"/>
        <v>2975.2525300000002</v>
      </c>
    </row>
    <row r="48" spans="1:16" s="2" customFormat="1" ht="15" customHeight="1">
      <c r="A48" s="62"/>
      <c r="B48" s="63" t="s">
        <v>92</v>
      </c>
      <c r="C48" s="11" t="s">
        <v>87</v>
      </c>
      <c r="D48" s="40">
        <v>337.92500000000001</v>
      </c>
      <c r="E48" s="40">
        <v>0</v>
      </c>
      <c r="F48" s="40">
        <v>0</v>
      </c>
      <c r="G48" s="40">
        <v>337.92500000000001</v>
      </c>
      <c r="H48" s="40">
        <v>0</v>
      </c>
      <c r="I48" s="40">
        <v>0</v>
      </c>
      <c r="J48" s="40">
        <v>337.92500000000001</v>
      </c>
      <c r="K48" s="40">
        <v>16</v>
      </c>
      <c r="L48" s="40">
        <v>0</v>
      </c>
      <c r="M48" s="40">
        <v>337.92500000000001</v>
      </c>
      <c r="N48" s="40">
        <v>0</v>
      </c>
      <c r="O48" s="40">
        <v>0</v>
      </c>
      <c r="P48" s="50">
        <f t="shared" si="26"/>
        <v>1367.7</v>
      </c>
    </row>
    <row r="49" spans="1:16" s="2" customFormat="1" ht="15" customHeight="1">
      <c r="A49" s="62"/>
      <c r="B49" s="63" t="s">
        <v>90</v>
      </c>
      <c r="C49" s="11" t="s">
        <v>87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50">
        <f t="shared" si="26"/>
        <v>0</v>
      </c>
    </row>
    <row r="50" spans="1:16" s="2" customFormat="1" ht="19.5" customHeight="1">
      <c r="A50" s="45"/>
      <c r="B50" s="46" t="s">
        <v>23</v>
      </c>
      <c r="C50" s="11" t="s">
        <v>87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50">
        <f t="shared" si="20"/>
        <v>0</v>
      </c>
    </row>
    <row r="51" spans="1:16" s="15" customFormat="1" ht="16.5" customHeight="1">
      <c r="A51" s="24" t="s">
        <v>28</v>
      </c>
      <c r="B51" s="28" t="s">
        <v>29</v>
      </c>
      <c r="C51" s="13" t="s">
        <v>87</v>
      </c>
      <c r="D51" s="41">
        <f>0+D9-D29</f>
        <v>865.78208000000086</v>
      </c>
      <c r="E51" s="41">
        <f>E9-E29</f>
        <v>-1449.4424900000013</v>
      </c>
      <c r="F51" s="41">
        <f t="shared" ref="F51:O51" si="27">F9-F29</f>
        <v>-77.119739999994636</v>
      </c>
      <c r="G51" s="41">
        <f t="shared" si="27"/>
        <v>79.038739999996324</v>
      </c>
      <c r="H51" s="41">
        <f t="shared" si="27"/>
        <v>24.978949999996985</v>
      </c>
      <c r="I51" s="41">
        <f t="shared" si="27"/>
        <v>-20.974870000005467</v>
      </c>
      <c r="J51" s="41">
        <f t="shared" si="27"/>
        <v>20830.833410000007</v>
      </c>
      <c r="K51" s="41">
        <f t="shared" si="27"/>
        <v>-1566.5540000000001</v>
      </c>
      <c r="L51" s="41">
        <f t="shared" si="27"/>
        <v>-7103.0146700000041</v>
      </c>
      <c r="M51" s="41">
        <f t="shared" si="27"/>
        <v>-6536.2481599999919</v>
      </c>
      <c r="N51" s="41">
        <f t="shared" si="27"/>
        <v>-5677.7640800000008</v>
      </c>
      <c r="O51" s="41">
        <f t="shared" si="27"/>
        <v>-10602.815139999933</v>
      </c>
      <c r="P51" s="50">
        <f>P9-P29</f>
        <v>-11233.299969999935</v>
      </c>
    </row>
    <row r="52" spans="1:16" s="15" customFormat="1" ht="16.5" customHeight="1">
      <c r="A52" s="24" t="s">
        <v>30</v>
      </c>
      <c r="B52" s="28" t="s">
        <v>31</v>
      </c>
      <c r="C52" s="13"/>
      <c r="D52" s="43">
        <f t="shared" ref="D52:I52" si="28">D53-D59+D65</f>
        <v>-865.78208000000086</v>
      </c>
      <c r="E52" s="43">
        <f t="shared" si="28"/>
        <v>1449.4424900000013</v>
      </c>
      <c r="F52" s="43">
        <f t="shared" si="28"/>
        <v>77.119739999994636</v>
      </c>
      <c r="G52" s="43">
        <f t="shared" si="28"/>
        <v>-79.038739999996324</v>
      </c>
      <c r="H52" s="43">
        <f t="shared" si="28"/>
        <v>-24.978949999996985</v>
      </c>
      <c r="I52" s="43">
        <f t="shared" si="28"/>
        <v>20.974870000005467</v>
      </c>
      <c r="J52" s="43">
        <f>J53-J59+J65</f>
        <v>-20830.833410000007</v>
      </c>
      <c r="K52" s="43">
        <f t="shared" ref="K52:P52" si="29">K53-K59+K65</f>
        <v>1566.5540000000001</v>
      </c>
      <c r="L52" s="43">
        <f t="shared" si="29"/>
        <v>7103.0146700000041</v>
      </c>
      <c r="M52" s="43">
        <f t="shared" si="29"/>
        <v>6536.2481599999919</v>
      </c>
      <c r="N52" s="43">
        <f t="shared" si="29"/>
        <v>5677.7640800000008</v>
      </c>
      <c r="O52" s="43">
        <f t="shared" si="29"/>
        <v>10602.815139999933</v>
      </c>
      <c r="P52" s="64">
        <f t="shared" si="29"/>
        <v>11233.299969999935</v>
      </c>
    </row>
    <row r="53" spans="1:16" s="15" customFormat="1" ht="31.5" customHeight="1">
      <c r="A53" s="24" t="s">
        <v>32</v>
      </c>
      <c r="B53" s="28" t="s">
        <v>33</v>
      </c>
      <c r="C53" s="13"/>
      <c r="D53" s="41">
        <f>D54+D55+D56+D57+D58</f>
        <v>0</v>
      </c>
      <c r="E53" s="41">
        <f t="shared" ref="E53:O53" si="30">E54+E55+E56+E57+E58</f>
        <v>0</v>
      </c>
      <c r="F53" s="41">
        <f t="shared" si="30"/>
        <v>0</v>
      </c>
      <c r="G53" s="41">
        <f t="shared" si="30"/>
        <v>0</v>
      </c>
      <c r="H53" s="41">
        <f t="shared" si="30"/>
        <v>0</v>
      </c>
      <c r="I53" s="41">
        <f t="shared" si="30"/>
        <v>0</v>
      </c>
      <c r="J53" s="41">
        <f t="shared" si="30"/>
        <v>36323</v>
      </c>
      <c r="K53" s="41">
        <f t="shared" si="30"/>
        <v>0</v>
      </c>
      <c r="L53" s="41">
        <f t="shared" si="30"/>
        <v>0</v>
      </c>
      <c r="M53" s="41">
        <f t="shared" si="30"/>
        <v>0</v>
      </c>
      <c r="N53" s="41">
        <f t="shared" si="30"/>
        <v>0</v>
      </c>
      <c r="O53" s="41">
        <f t="shared" si="30"/>
        <v>0</v>
      </c>
      <c r="P53" s="50">
        <f t="shared" si="20"/>
        <v>36323</v>
      </c>
    </row>
    <row r="54" spans="1:16" s="2" customFormat="1" ht="46.5" customHeight="1">
      <c r="A54" s="62"/>
      <c r="B54" s="63" t="s">
        <v>34</v>
      </c>
      <c r="C54" s="11" t="s">
        <v>35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50">
        <f t="shared" si="20"/>
        <v>0</v>
      </c>
    </row>
    <row r="55" spans="1:16" s="2" customFormat="1" ht="29.25" customHeight="1">
      <c r="A55" s="62"/>
      <c r="B55" s="63" t="s">
        <v>36</v>
      </c>
      <c r="C55" s="11" t="s">
        <v>37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36323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50">
        <f t="shared" si="20"/>
        <v>36323</v>
      </c>
    </row>
    <row r="56" spans="1:16" s="2" customFormat="1" ht="47.25" customHeight="1">
      <c r="A56" s="62"/>
      <c r="B56" s="63" t="s">
        <v>38</v>
      </c>
      <c r="C56" s="11" t="s">
        <v>39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50">
        <f t="shared" si="20"/>
        <v>0</v>
      </c>
    </row>
    <row r="57" spans="1:16" s="2" customFormat="1" ht="46.5" customHeight="1">
      <c r="A57" s="62"/>
      <c r="B57" s="63" t="s">
        <v>40</v>
      </c>
      <c r="C57" s="11" t="s">
        <v>76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50">
        <f t="shared" ref="P57:P58" si="31">SUM(D57:O57)</f>
        <v>0</v>
      </c>
    </row>
    <row r="58" spans="1:16" s="2" customFormat="1" ht="35.25" customHeight="1">
      <c r="A58" s="62"/>
      <c r="B58" s="63" t="s">
        <v>41</v>
      </c>
      <c r="C58" s="11" t="s">
        <v>42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50">
        <f t="shared" si="31"/>
        <v>0</v>
      </c>
    </row>
    <row r="59" spans="1:16" s="15" customFormat="1" ht="29.25" customHeight="1">
      <c r="A59" s="24" t="s">
        <v>43</v>
      </c>
      <c r="B59" s="28" t="s">
        <v>44</v>
      </c>
      <c r="C59" s="13"/>
      <c r="D59" s="41">
        <f>D60+D61+D62+D63+D64</f>
        <v>0</v>
      </c>
      <c r="E59" s="41">
        <f t="shared" ref="E59:O59" si="32">E60+E61+E62+E63+E64</f>
        <v>0</v>
      </c>
      <c r="F59" s="41">
        <f t="shared" si="32"/>
        <v>0</v>
      </c>
      <c r="G59" s="41">
        <f t="shared" si="32"/>
        <v>0</v>
      </c>
      <c r="H59" s="41">
        <f t="shared" si="32"/>
        <v>0</v>
      </c>
      <c r="I59" s="41">
        <f t="shared" si="32"/>
        <v>0</v>
      </c>
      <c r="J59" s="41">
        <f t="shared" si="32"/>
        <v>36323</v>
      </c>
      <c r="K59" s="41">
        <f t="shared" si="32"/>
        <v>0</v>
      </c>
      <c r="L59" s="41">
        <f t="shared" si="32"/>
        <v>0</v>
      </c>
      <c r="M59" s="41">
        <f t="shared" si="32"/>
        <v>0</v>
      </c>
      <c r="N59" s="41">
        <v>0</v>
      </c>
      <c r="O59" s="41">
        <f t="shared" si="32"/>
        <v>0</v>
      </c>
      <c r="P59" s="50">
        <f t="shared" si="20"/>
        <v>36323</v>
      </c>
    </row>
    <row r="60" spans="1:16" s="2" customFormat="1" ht="45.75" customHeight="1">
      <c r="A60" s="62"/>
      <c r="B60" s="63" t="s">
        <v>45</v>
      </c>
      <c r="C60" s="11" t="s">
        <v>46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50">
        <f t="shared" ref="P60" si="33">SUM(D60:O60)</f>
        <v>0</v>
      </c>
    </row>
    <row r="61" spans="1:16" s="2" customFormat="1" ht="31.5" customHeight="1">
      <c r="A61" s="62"/>
      <c r="B61" s="63" t="s">
        <v>47</v>
      </c>
      <c r="C61" s="11" t="s">
        <v>48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36323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50">
        <f t="shared" si="20"/>
        <v>36323</v>
      </c>
    </row>
    <row r="62" spans="1:16" s="2" customFormat="1" ht="31.5" customHeight="1">
      <c r="A62" s="62"/>
      <c r="B62" s="63" t="s">
        <v>49</v>
      </c>
      <c r="C62" s="11" t="s">
        <v>50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50">
        <f t="shared" si="20"/>
        <v>0</v>
      </c>
    </row>
    <row r="63" spans="1:16" s="2" customFormat="1" ht="31.5" customHeight="1">
      <c r="A63" s="62"/>
      <c r="B63" s="63" t="s">
        <v>51</v>
      </c>
      <c r="C63" s="11" t="s">
        <v>52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50">
        <f t="shared" ref="P63:P64" si="34">SUM(D63:O63)</f>
        <v>0</v>
      </c>
    </row>
    <row r="64" spans="1:16" s="2" customFormat="1" ht="31.5" customHeight="1">
      <c r="A64" s="62"/>
      <c r="B64" s="63" t="s">
        <v>53</v>
      </c>
      <c r="C64" s="11" t="s">
        <v>54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50">
        <f t="shared" si="34"/>
        <v>0</v>
      </c>
    </row>
    <row r="65" spans="1:53" s="15" customFormat="1" ht="17.25" customHeight="1">
      <c r="A65" s="24" t="s">
        <v>55</v>
      </c>
      <c r="B65" s="28" t="s">
        <v>56</v>
      </c>
      <c r="C65" s="13"/>
      <c r="D65" s="41">
        <f t="shared" ref="D65:I65" si="35">(D62+D61+D60+D58+D29)-(D56+D55+D54+D9)</f>
        <v>-865.78208000000086</v>
      </c>
      <c r="E65" s="41">
        <f t="shared" si="35"/>
        <v>1449.4424900000013</v>
      </c>
      <c r="F65" s="41">
        <f t="shared" si="35"/>
        <v>77.119739999994636</v>
      </c>
      <c r="G65" s="41">
        <f t="shared" si="35"/>
        <v>-79.038739999996324</v>
      </c>
      <c r="H65" s="41">
        <f t="shared" si="35"/>
        <v>-24.978949999996985</v>
      </c>
      <c r="I65" s="41">
        <f t="shared" si="35"/>
        <v>20.974870000005467</v>
      </c>
      <c r="J65" s="41">
        <f>(J62+J61+J60+J58+J29)-(J56+J55+J54+J9)</f>
        <v>-20830.833410000007</v>
      </c>
      <c r="K65" s="41">
        <f>(K62+K61+K60+K58+K29)-(K56+K55+K54+K9)</f>
        <v>1566.5540000000001</v>
      </c>
      <c r="L65" s="41">
        <f t="shared" ref="L65:O65" si="36">(L62+L61+L60+L58+L29)-(L56+L55+L54+L9)</f>
        <v>7103.0146700000041</v>
      </c>
      <c r="M65" s="41">
        <f t="shared" si="36"/>
        <v>6536.2481599999919</v>
      </c>
      <c r="N65" s="41">
        <f t="shared" si="36"/>
        <v>5677.7640800000008</v>
      </c>
      <c r="O65" s="41">
        <f t="shared" si="36"/>
        <v>10602.815139999933</v>
      </c>
      <c r="P65" s="50">
        <f>(P62+P61+P60+P58+P29)-(P56+P55+P54+P9)</f>
        <v>11233.299969999935</v>
      </c>
      <c r="BA65" s="36"/>
    </row>
    <row r="66" spans="1:53" s="14" customFormat="1" ht="17.25" customHeight="1">
      <c r="A66" s="24" t="s">
        <v>57</v>
      </c>
      <c r="B66" s="28" t="s">
        <v>58</v>
      </c>
      <c r="C66" s="13"/>
      <c r="D66" s="41">
        <v>665.57659000000001</v>
      </c>
      <c r="E66" s="41">
        <f>D67</f>
        <v>1531.3586700000014</v>
      </c>
      <c r="F66" s="41">
        <f t="shared" ref="F66:O66" si="37">E67</f>
        <v>81.916180000000168</v>
      </c>
      <c r="G66" s="41">
        <f t="shared" si="37"/>
        <v>4.7964400000055321</v>
      </c>
      <c r="H66" s="41">
        <f t="shared" si="37"/>
        <v>83.835180000001856</v>
      </c>
      <c r="I66" s="41">
        <f t="shared" si="37"/>
        <v>108.81412999999884</v>
      </c>
      <c r="J66" s="41">
        <f t="shared" si="37"/>
        <v>87.839259999993374</v>
      </c>
      <c r="K66" s="41">
        <f t="shared" si="37"/>
        <v>20918.67267</v>
      </c>
      <c r="L66" s="41">
        <f t="shared" si="37"/>
        <v>19352.118669999996</v>
      </c>
      <c r="M66" s="41">
        <f t="shared" si="37"/>
        <v>12249.103999999992</v>
      </c>
      <c r="N66" s="41">
        <f t="shared" si="37"/>
        <v>5712.8558400000038</v>
      </c>
      <c r="O66" s="41">
        <f t="shared" si="37"/>
        <v>35.091760000002978</v>
      </c>
      <c r="P66" s="41">
        <f>D66</f>
        <v>665.57659000000001</v>
      </c>
      <c r="BA66" s="36"/>
    </row>
    <row r="67" spans="1:53" s="14" customFormat="1" ht="17.25" customHeight="1">
      <c r="A67" s="24" t="s">
        <v>59</v>
      </c>
      <c r="B67" s="28" t="s">
        <v>60</v>
      </c>
      <c r="C67" s="13"/>
      <c r="D67" s="41">
        <f>D66+D9-D29</f>
        <v>1531.3586700000014</v>
      </c>
      <c r="E67" s="41">
        <f>E66+E9-E29</f>
        <v>81.916180000000168</v>
      </c>
      <c r="F67" s="41">
        <f t="shared" ref="F67:O67" si="38">F66+F9-F29</f>
        <v>4.7964400000055321</v>
      </c>
      <c r="G67" s="41">
        <f t="shared" si="38"/>
        <v>83.835180000001856</v>
      </c>
      <c r="H67" s="41">
        <f t="shared" si="38"/>
        <v>108.81412999999884</v>
      </c>
      <c r="I67" s="41">
        <f t="shared" si="38"/>
        <v>87.839259999993374</v>
      </c>
      <c r="J67" s="41">
        <f t="shared" si="38"/>
        <v>20918.67267</v>
      </c>
      <c r="K67" s="41">
        <f t="shared" si="38"/>
        <v>19352.118669999996</v>
      </c>
      <c r="L67" s="41">
        <f t="shared" si="38"/>
        <v>12249.103999999992</v>
      </c>
      <c r="M67" s="41">
        <f t="shared" si="38"/>
        <v>5712.8558400000038</v>
      </c>
      <c r="N67" s="41">
        <f t="shared" si="38"/>
        <v>35.091760000002978</v>
      </c>
      <c r="O67" s="41">
        <f t="shared" si="38"/>
        <v>-10567.72337999993</v>
      </c>
      <c r="P67" s="41">
        <f>P66+P9-P29</f>
        <v>-10567.723379999923</v>
      </c>
      <c r="BA67" s="36"/>
    </row>
    <row r="68" spans="1:53" s="15" customFormat="1" ht="35.1" customHeight="1" thickBot="1">
      <c r="A68" s="25" t="s">
        <v>61</v>
      </c>
      <c r="B68" s="32" t="s">
        <v>62</v>
      </c>
      <c r="C68" s="20"/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52">
        <f t="shared" si="20"/>
        <v>0</v>
      </c>
      <c r="BA68" s="36"/>
    </row>
    <row r="69" spans="1:53" ht="8.25" customHeight="1">
      <c r="B69" s="2"/>
      <c r="C69" s="2"/>
      <c r="E69" s="2"/>
      <c r="F69" s="2"/>
      <c r="G69" s="2"/>
    </row>
    <row r="70" spans="1:53" ht="18.75" customHeight="1">
      <c r="B70" s="60" t="s">
        <v>111</v>
      </c>
      <c r="C70" s="60"/>
      <c r="D70" s="60"/>
      <c r="E70" s="60"/>
      <c r="F70" s="60"/>
      <c r="G70" s="60"/>
      <c r="H70" s="60"/>
      <c r="I70" s="60"/>
    </row>
    <row r="71" spans="1:53" s="7" customFormat="1" ht="12.75">
      <c r="B71" s="61" t="s">
        <v>112</v>
      </c>
      <c r="C71" s="61"/>
      <c r="D71" s="61"/>
      <c r="E71" s="61"/>
      <c r="F71" s="61"/>
      <c r="G71" s="61"/>
      <c r="H71" s="61"/>
      <c r="I71" s="61"/>
      <c r="P71" s="51"/>
    </row>
    <row r="72" spans="1:53" s="7" customFormat="1" ht="13.5" customHeight="1">
      <c r="B72" s="68" t="s">
        <v>79</v>
      </c>
      <c r="C72" s="68"/>
      <c r="D72" s="68"/>
      <c r="E72" s="68"/>
      <c r="F72" s="68"/>
      <c r="G72" s="68"/>
      <c r="H72" s="68"/>
      <c r="I72" s="68"/>
      <c r="P72" s="51"/>
    </row>
    <row r="73" spans="1:53" ht="18.75">
      <c r="B73" s="67"/>
      <c r="C73" s="67"/>
      <c r="D73" s="67"/>
      <c r="E73" s="67"/>
      <c r="F73" s="67"/>
      <c r="G73" s="67"/>
      <c r="H73" s="67"/>
      <c r="I73" s="67"/>
    </row>
  </sheetData>
  <mergeCells count="10">
    <mergeCell ref="I1:P1"/>
    <mergeCell ref="I3:P3"/>
    <mergeCell ref="B73:I73"/>
    <mergeCell ref="B72:I72"/>
    <mergeCell ref="A5:P5"/>
    <mergeCell ref="A20:A22"/>
    <mergeCell ref="A24:A27"/>
    <mergeCell ref="B24:B27"/>
    <mergeCell ref="I2:P2"/>
    <mergeCell ref="I4:P4"/>
  </mergeCells>
  <pageMargins left="0.70866141732283472" right="0.70866141732283472" top="0.74803149606299213" bottom="0.74803149606299213" header="0" footer="0"/>
  <pageSetup paperSize="9" scale="5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2023-03-13T06:50:30Z</cp:lastPrinted>
  <dcterms:created xsi:type="dcterms:W3CDTF">2022-09-28T12:50:16Z</dcterms:created>
  <dcterms:modified xsi:type="dcterms:W3CDTF">2023-03-13T07:09:00Z</dcterms:modified>
</cp:coreProperties>
</file>